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иск д\Мои документы D\Расчеты\Тарифы\Тарифы_по_ЭлЭн\ТехПрисоединение\Стандартизированные ставки\2020_Стандарт_ставки\"/>
    </mc:Choice>
  </mc:AlternateContent>
  <bookViews>
    <workbookView xWindow="0" yWindow="0" windowWidth="28800" windowHeight="12450" activeTab="7"/>
  </bookViews>
  <sheets>
    <sheet name="1_Прогноз" sheetId="2" r:id="rId1"/>
    <sheet name="2_Станд_ставки" sheetId="1" r:id="rId2"/>
    <sheet name="3_Расходы" sheetId="3" r:id="rId3"/>
    <sheet name="4_НВВ" sheetId="8" r:id="rId4"/>
    <sheet name="5_Мощность" sheetId="4" r:id="rId5"/>
    <sheet name="6_стройка" sheetId="10" r:id="rId6"/>
    <sheet name="7_Договоры" sheetId="5" r:id="rId7"/>
    <sheet name="8_заявки2019" sheetId="7" r:id="rId8"/>
  </sheets>
  <externalReferences>
    <externalReference r:id="rId9"/>
  </externalReferences>
  <definedNames>
    <definedName name="_xlnm.Print_Titles" localSheetId="2">'3_Расходы'!$7:$7</definedName>
    <definedName name="_xlnm.Print_Area" localSheetId="0">'1_Прогноз'!$A$1:$D$40</definedName>
    <definedName name="_xlnm.Print_Area" localSheetId="2">'3_Расходы'!$A$1:$D$51</definedName>
    <definedName name="_xlnm.Print_Area" localSheetId="4">'5_Мощность'!$A$1:$G$63</definedName>
    <definedName name="_xlnm.Print_Area" localSheetId="7">'8_заявки2019'!$A$1:$G$65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8" l="1"/>
  <c r="C28" i="8" s="1"/>
  <c r="C25" i="8" s="1"/>
  <c r="C24" i="8"/>
  <c r="C23" i="8"/>
  <c r="C20" i="8" s="1"/>
  <c r="C58" i="7"/>
  <c r="C57" i="7"/>
  <c r="C56" i="7"/>
  <c r="F51" i="7"/>
  <c r="D51" i="7"/>
  <c r="E50" i="7"/>
  <c r="E49" i="7"/>
  <c r="E51" i="7" s="1"/>
  <c r="F46" i="7"/>
  <c r="F58" i="7" s="1"/>
  <c r="D46" i="7"/>
  <c r="D58" i="7" s="1"/>
  <c r="E45" i="7"/>
  <c r="E44" i="7"/>
  <c r="E43" i="7"/>
  <c r="E42" i="7"/>
  <c r="E41" i="7"/>
  <c r="E40" i="7"/>
  <c r="E39" i="7"/>
  <c r="E38" i="7"/>
  <c r="E37" i="7"/>
  <c r="E36" i="7"/>
  <c r="E35" i="7"/>
  <c r="E34" i="7"/>
  <c r="F32" i="7"/>
  <c r="F57" i="7" s="1"/>
  <c r="D32" i="7"/>
  <c r="D57" i="7" s="1"/>
  <c r="E31" i="7"/>
  <c r="E30" i="7"/>
  <c r="E29" i="7"/>
  <c r="E28" i="7"/>
  <c r="E27" i="7"/>
  <c r="E26" i="7"/>
  <c r="E25" i="7"/>
  <c r="E24" i="7"/>
  <c r="E23" i="7"/>
  <c r="E22" i="7"/>
  <c r="D20" i="7"/>
  <c r="D56" i="7" s="1"/>
  <c r="E19" i="7"/>
  <c r="E18" i="7"/>
  <c r="F17" i="7"/>
  <c r="E16" i="7"/>
  <c r="E15" i="7"/>
  <c r="F14" i="7"/>
  <c r="F20" i="7" s="1"/>
  <c r="F56" i="7" s="1"/>
  <c r="F59" i="7" s="1"/>
  <c r="E13" i="7"/>
  <c r="E12" i="7"/>
  <c r="E20" i="7" s="1"/>
  <c r="E56" i="7" s="1"/>
  <c r="E10" i="7"/>
  <c r="D10" i="7"/>
  <c r="F9" i="7"/>
  <c r="F8" i="7"/>
  <c r="F7" i="7"/>
  <c r="F6" i="7"/>
  <c r="F10" i="7" s="1"/>
  <c r="E43" i="5"/>
  <c r="E42" i="5"/>
  <c r="G37" i="5"/>
  <c r="G36" i="5"/>
  <c r="F58" i="4"/>
  <c r="D58" i="4"/>
  <c r="C58" i="4"/>
  <c r="F57" i="4"/>
  <c r="C57" i="4"/>
  <c r="D56" i="4"/>
  <c r="D59" i="4" s="1"/>
  <c r="D61" i="4" s="1"/>
  <c r="C56" i="4"/>
  <c r="C59" i="4" s="1"/>
  <c r="F51" i="4"/>
  <c r="D51" i="4"/>
  <c r="E50" i="4"/>
  <c r="E49" i="4"/>
  <c r="E51" i="4" s="1"/>
  <c r="F46" i="4"/>
  <c r="D46" i="4"/>
  <c r="E45" i="4"/>
  <c r="E44" i="4"/>
  <c r="E43" i="4"/>
  <c r="E42" i="4"/>
  <c r="E41" i="4"/>
  <c r="E40" i="4"/>
  <c r="E39" i="4"/>
  <c r="E38" i="4"/>
  <c r="E37" i="4"/>
  <c r="E36" i="4"/>
  <c r="E35" i="4"/>
  <c r="E46" i="4" s="1"/>
  <c r="E58" i="4" s="1"/>
  <c r="E34" i="4"/>
  <c r="F32" i="4"/>
  <c r="D32" i="4"/>
  <c r="D57" i="4" s="1"/>
  <c r="E31" i="4"/>
  <c r="E30" i="4"/>
  <c r="E29" i="4"/>
  <c r="E28" i="4"/>
  <c r="E27" i="4"/>
  <c r="E26" i="4"/>
  <c r="E25" i="4"/>
  <c r="E24" i="4"/>
  <c r="E23" i="4"/>
  <c r="E22" i="4"/>
  <c r="E32" i="4" s="1"/>
  <c r="E57" i="4" s="1"/>
  <c r="D20" i="4"/>
  <c r="E19" i="4"/>
  <c r="E18" i="4"/>
  <c r="F17" i="4"/>
  <c r="E16" i="4"/>
  <c r="E15" i="4"/>
  <c r="F14" i="4"/>
  <c r="F20" i="4" s="1"/>
  <c r="F56" i="4" s="1"/>
  <c r="F59" i="4" s="1"/>
  <c r="E13" i="4"/>
  <c r="E20" i="4" s="1"/>
  <c r="E56" i="4" s="1"/>
  <c r="E12" i="4"/>
  <c r="E10" i="4"/>
  <c r="D10" i="4"/>
  <c r="F9" i="4"/>
  <c r="F8" i="4"/>
  <c r="F7" i="4"/>
  <c r="F6" i="4"/>
  <c r="F10" i="4" s="1"/>
  <c r="I42" i="3"/>
  <c r="H42" i="3"/>
  <c r="H41" i="3"/>
  <c r="J40" i="3"/>
  <c r="H40" i="3"/>
  <c r="D38" i="3"/>
  <c r="D37" i="3"/>
  <c r="D36" i="3"/>
  <c r="D35" i="3"/>
  <c r="C35" i="3"/>
  <c r="E35" i="3" s="1"/>
  <c r="H31" i="3"/>
  <c r="H28" i="3"/>
  <c r="D28" i="3"/>
  <c r="E25" i="3"/>
  <c r="E21" i="3"/>
  <c r="H20" i="3"/>
  <c r="E20" i="3"/>
  <c r="H19" i="3"/>
  <c r="I19" i="3" s="1"/>
  <c r="O18" i="3"/>
  <c r="H18" i="3"/>
  <c r="I18" i="3" s="1"/>
  <c r="K17" i="3"/>
  <c r="E17" i="3"/>
  <c r="J16" i="3"/>
  <c r="E16" i="3"/>
  <c r="H15" i="3"/>
  <c r="D15" i="3"/>
  <c r="C15" i="3"/>
  <c r="E15" i="3" s="1"/>
  <c r="O14" i="3"/>
  <c r="P14" i="3" s="1"/>
  <c r="H11" i="3"/>
  <c r="O10" i="3"/>
  <c r="H8" i="3"/>
  <c r="C33" i="2"/>
  <c r="C31" i="2"/>
  <c r="C24" i="2"/>
  <c r="D14" i="2"/>
  <c r="D13" i="2"/>
  <c r="C13" i="2"/>
  <c r="C14" i="2" s="1"/>
  <c r="E16" i="1"/>
  <c r="E17" i="1" s="1"/>
  <c r="E18" i="1" s="1"/>
  <c r="D16" i="1"/>
  <c r="D17" i="1" s="1"/>
  <c r="D18" i="1" s="1"/>
  <c r="E32" i="7" l="1"/>
  <c r="E57" i="7" s="1"/>
  <c r="E59" i="7" s="1"/>
  <c r="E46" i="7"/>
  <c r="E58" i="7" s="1"/>
  <c r="C59" i="7"/>
  <c r="D59" i="7"/>
  <c r="D61" i="7" s="1"/>
  <c r="E59" i="4"/>
  <c r="P10" i="3"/>
  <c r="K41" i="3"/>
  <c r="H43" i="3"/>
  <c r="I43" i="3" s="1"/>
  <c r="E38" i="3"/>
  <c r="E37" i="3"/>
  <c r="E36" i="3"/>
  <c r="E26" i="3"/>
  <c r="E24" i="3"/>
  <c r="E22" i="3"/>
  <c r="E19" i="3"/>
  <c r="E18" i="3"/>
  <c r="J11" i="3"/>
  <c r="C11" i="3"/>
  <c r="H12" i="3"/>
  <c r="H14" i="3"/>
  <c r="E23" i="3"/>
  <c r="E27" i="3"/>
  <c r="E28" i="3"/>
  <c r="E30" i="3"/>
  <c r="H32" i="3"/>
  <c r="J31" i="3"/>
  <c r="C31" i="3"/>
  <c r="C40" i="3"/>
  <c r="H44" i="3"/>
  <c r="I44" i="3" s="1"/>
  <c r="C42" i="3"/>
  <c r="E62" i="7" l="1"/>
  <c r="E63" i="7"/>
  <c r="D42" i="3"/>
  <c r="Q14" i="3"/>
  <c r="E42" i="3"/>
  <c r="C43" i="3"/>
  <c r="C41" i="3"/>
  <c r="E41" i="3" s="1"/>
  <c r="D40" i="3"/>
  <c r="C44" i="3"/>
  <c r="C39" i="3"/>
  <c r="E40" i="3"/>
  <c r="E31" i="3"/>
  <c r="C32" i="3"/>
  <c r="E32" i="3" s="1"/>
  <c r="D31" i="3"/>
  <c r="H33" i="3"/>
  <c r="I33" i="3" s="1"/>
  <c r="K32" i="3"/>
  <c r="I14" i="3"/>
  <c r="K12" i="3"/>
  <c r="K46" i="3" s="1"/>
  <c r="O11" i="3"/>
  <c r="C12" i="3"/>
  <c r="E11" i="3"/>
  <c r="Q10" i="3"/>
  <c r="D11" i="3"/>
  <c r="H34" i="3"/>
  <c r="I34" i="3" s="1"/>
  <c r="H13" i="3"/>
  <c r="H10" i="3"/>
  <c r="J46" i="3"/>
  <c r="H39" i="3"/>
  <c r="E63" i="4"/>
  <c r="E62" i="4"/>
  <c r="E12" i="3" l="1"/>
  <c r="Q11" i="3"/>
  <c r="C14" i="3"/>
  <c r="C34" i="3"/>
  <c r="C33" i="3"/>
  <c r="C17" i="1"/>
  <c r="F17" i="1" s="1"/>
  <c r="E39" i="3"/>
  <c r="D41" i="3"/>
  <c r="E43" i="3"/>
  <c r="D43" i="3"/>
  <c r="I13" i="3"/>
  <c r="I46" i="3" s="1"/>
  <c r="C23" i="2" s="1"/>
  <c r="O12" i="3"/>
  <c r="P12" i="3" s="1"/>
  <c r="H29" i="3"/>
  <c r="H9" i="3" s="1"/>
  <c r="D12" i="3"/>
  <c r="C13" i="3"/>
  <c r="P11" i="3"/>
  <c r="O13" i="3"/>
  <c r="P13" i="3" s="1"/>
  <c r="D32" i="3"/>
  <c r="D44" i="3"/>
  <c r="D39" i="3" s="1"/>
  <c r="E44" i="3"/>
  <c r="Q15" i="3" l="1"/>
  <c r="P15" i="3"/>
  <c r="C18" i="2"/>
  <c r="C15" i="2" s="1"/>
  <c r="C10" i="2" s="1"/>
  <c r="C34" i="2" s="1"/>
  <c r="E34" i="2" s="1"/>
  <c r="D23" i="2"/>
  <c r="D18" i="2" s="1"/>
  <c r="D15" i="2" s="1"/>
  <c r="D10" i="2" s="1"/>
  <c r="D34" i="2" s="1"/>
  <c r="D34" i="3"/>
  <c r="E34" i="3"/>
  <c r="C29" i="3"/>
  <c r="O15" i="3"/>
  <c r="O17" i="3" s="1"/>
  <c r="E13" i="3"/>
  <c r="Q12" i="3"/>
  <c r="D13" i="3"/>
  <c r="D10" i="3" s="1"/>
  <c r="C10" i="3"/>
  <c r="E33" i="3"/>
  <c r="D33" i="3"/>
  <c r="E14" i="3"/>
  <c r="Q13" i="3"/>
  <c r="D14" i="3"/>
  <c r="C16" i="1" l="1"/>
  <c r="F16" i="1" s="1"/>
  <c r="E29" i="3"/>
  <c r="D29" i="3"/>
  <c r="D9" i="3" s="1"/>
  <c r="E10" i="3"/>
  <c r="C15" i="1"/>
  <c r="C9" i="3"/>
  <c r="C18" i="1" l="1"/>
  <c r="F15" i="1"/>
  <c r="F18" i="1" s="1"/>
  <c r="E9" i="3"/>
  <c r="F4" i="3"/>
  <c r="F7" i="3"/>
</calcChain>
</file>

<file path=xl/sharedStrings.xml><?xml version="1.0" encoding="utf-8"?>
<sst xmlns="http://schemas.openxmlformats.org/spreadsheetml/2006/main" count="722" uniqueCount="388">
  <si>
    <t>Приложение N 2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</si>
  <si>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</si>
  <si>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</si>
  <si>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</si>
  <si>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</si>
  <si>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</si>
  <si>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выполнение мероприятий по технологическому</t>
  </si>
  <si>
    <t>присоединению, предусмотренным подпунктами "а" и "в"</t>
  </si>
  <si>
    <t>пункта 16 Методических указаний, за 2018 год</t>
  </si>
  <si>
    <t>N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</si>
  <si>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</si>
  <si>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</si>
  <si>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t>Расходы на одно присоединение (руб. на одно ТП)</t>
  </si>
  <si>
    <t>Расходы по каждому мероприятию (руб./кВт*ч)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</si>
  <si>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</si>
  <si>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</si>
  <si>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</si>
  <si>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</t>
  </si>
  <si>
    <t>2.</t>
  </si>
  <si>
    <t>Проверка сетевой организацией выполнения Заявителем</t>
  </si>
  <si>
    <t>3.</t>
  </si>
  <si>
    <t>Фактические действия по присоединению и обеспечению работы Устройств в электрической сети</t>
  </si>
  <si>
    <t>ИТОГО</t>
  </si>
  <si>
    <t>Заместитель начальника ОЦиТ</t>
  </si>
  <si>
    <t>А.И. Иванов</t>
  </si>
  <si>
    <t>Приложение 1</t>
  </si>
  <si>
    <t>Расчет</t>
  </si>
  <si>
    <t>необходимой валовой выручки</t>
  </si>
  <si>
    <t>по технологическому присоединению</t>
  </si>
  <si>
    <t>руб.</t>
  </si>
  <si>
    <t xml:space="preserve">N п/п   </t>
  </si>
  <si>
    <t xml:space="preserve">Показатели               </t>
  </si>
  <si>
    <t xml:space="preserve">Ожидаемые данные за текущий период  </t>
  </si>
  <si>
    <t>Плановые показатели на следующий период</t>
  </si>
  <si>
    <t xml:space="preserve">1.   </t>
  </si>
  <si>
    <t>Расходы по выполнению мероприятий по технологическому присоединению, всего</t>
  </si>
  <si>
    <t xml:space="preserve">1.1.  </t>
  </si>
  <si>
    <t xml:space="preserve">Вспомогательные материалы              </t>
  </si>
  <si>
    <t xml:space="preserve">1.2.  </t>
  </si>
  <si>
    <t xml:space="preserve">Энергия на хозяйственные нужды         </t>
  </si>
  <si>
    <t xml:space="preserve">1.3.  </t>
  </si>
  <si>
    <t xml:space="preserve">Оплата труда ППП (без ЕСН)             </t>
  </si>
  <si>
    <t xml:space="preserve">1.4.  </t>
  </si>
  <si>
    <t xml:space="preserve">Отчисления на социальные нужды         </t>
  </si>
  <si>
    <t xml:space="preserve">1.5.  </t>
  </si>
  <si>
    <t xml:space="preserve">Прочие расходы, всего, в том числе:    </t>
  </si>
  <si>
    <t xml:space="preserve">1.5.1. </t>
  </si>
  <si>
    <t xml:space="preserve"> - работы и услуги производственного    </t>
  </si>
  <si>
    <t xml:space="preserve">1.5.2. </t>
  </si>
  <si>
    <t xml:space="preserve"> - налоги, всего                        </t>
  </si>
  <si>
    <t xml:space="preserve">1.5.3. </t>
  </si>
  <si>
    <t xml:space="preserve"> - работы и услуги непроизводственного  характера, в т.ч.:  </t>
  </si>
  <si>
    <t>1.5.3.1.</t>
  </si>
  <si>
    <t xml:space="preserve">услуги связи                           </t>
  </si>
  <si>
    <t>1.5.3.2.</t>
  </si>
  <si>
    <t xml:space="preserve">расходы на охрану и пожарную безопасность              </t>
  </si>
  <si>
    <t>1.5.3.3.</t>
  </si>
  <si>
    <t>расходы на информационное обслуживание, консультационные и юридические услуги</t>
  </si>
  <si>
    <t>1.5.3.4.</t>
  </si>
  <si>
    <t xml:space="preserve">плата за аренду имущества              </t>
  </si>
  <si>
    <t>1.5.3.5.</t>
  </si>
  <si>
    <t>другие прочие расходы, связанные с производством и реализацией</t>
  </si>
  <si>
    <t>уаз</t>
  </si>
  <si>
    <t xml:space="preserve">1.6.  </t>
  </si>
  <si>
    <t xml:space="preserve">1.6.1. </t>
  </si>
  <si>
    <t xml:space="preserve"> - расходы на услуги банков             </t>
  </si>
  <si>
    <t xml:space="preserve">1.6.2. </t>
  </si>
  <si>
    <t xml:space="preserve"> - % за пользование кредитом            </t>
  </si>
  <si>
    <t xml:space="preserve">1.6.3. </t>
  </si>
  <si>
    <t xml:space="preserve"> - налог на имущество                   </t>
  </si>
  <si>
    <t xml:space="preserve">1.6.4. </t>
  </si>
  <si>
    <t xml:space="preserve"> - другие обоснованные расходы          </t>
  </si>
  <si>
    <t xml:space="preserve">1.6.5. </t>
  </si>
  <si>
    <t xml:space="preserve"> - денежные выплаты социальногохарактера (по Коллективному договору) </t>
  </si>
  <si>
    <t xml:space="preserve">1.6.6. </t>
  </si>
  <si>
    <t xml:space="preserve"> - другие расходы из прибыли            </t>
  </si>
  <si>
    <t xml:space="preserve">2.   </t>
  </si>
  <si>
    <t>Расходы на строительство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</si>
  <si>
    <t xml:space="preserve">3.   </t>
  </si>
  <si>
    <t xml:space="preserve">Выпадающие доходы/экономия средств     </t>
  </si>
  <si>
    <t xml:space="preserve">4.   </t>
  </si>
  <si>
    <t>Налог на прибыль с платы на технологическое присоединение (20%)</t>
  </si>
  <si>
    <t xml:space="preserve">5.   </t>
  </si>
  <si>
    <t>Необходимая валовая выручка (сумма п. 1- 3)</t>
  </si>
  <si>
    <t xml:space="preserve">Заместитель генерального </t>
  </si>
  <si>
    <t>А.А. Аюпов</t>
  </si>
  <si>
    <t>с НДС</t>
  </si>
  <si>
    <t>директора по экономике и финансам</t>
  </si>
  <si>
    <t>Заместитель начальника отдела</t>
  </si>
  <si>
    <t>ценообразования и тарифов</t>
  </si>
  <si>
    <t>Экономист отдела ценообразования и тарифов</t>
  </si>
  <si>
    <t>Д.С. Яркеев</t>
  </si>
  <si>
    <t>Приложение 2</t>
  </si>
  <si>
    <t xml:space="preserve">             Калькуляция стоимости мероприятий, осуществляемых</t>
  </si>
  <si>
    <t xml:space="preserve">        при технологическом присоединении единицы мощности (1 кВт)</t>
  </si>
  <si>
    <t xml:space="preserve">                                                                   руб./кВт</t>
  </si>
  <si>
    <t xml:space="preserve">Наименование мероприятий        </t>
  </si>
  <si>
    <t>теория</t>
  </si>
  <si>
    <t>Факт</t>
  </si>
  <si>
    <t>Итого ставка платы за технологическое присоединение</t>
  </si>
  <si>
    <t>Всего</t>
  </si>
  <si>
    <t>на 1 кВт</t>
  </si>
  <si>
    <t xml:space="preserve">1. </t>
  </si>
  <si>
    <t xml:space="preserve">Подготовка и выдача сетевой организацией технических условий ТУ и их согласование, всего, в т.ч. </t>
  </si>
  <si>
    <t>ФОТ</t>
  </si>
  <si>
    <t>1.1.</t>
  </si>
  <si>
    <t>Основная оплата труда производственных рабочих</t>
  </si>
  <si>
    <t>ЕСН</t>
  </si>
  <si>
    <t>1.2.</t>
  </si>
  <si>
    <t>Отчисления на соц. нужды с оплаты производственных рабочих</t>
  </si>
  <si>
    <t>ОП</t>
  </si>
  <si>
    <t>1.3.</t>
  </si>
  <si>
    <t>Общепроизводственные расходы</t>
  </si>
  <si>
    <t>ОХ</t>
  </si>
  <si>
    <t>1.4.</t>
  </si>
  <si>
    <t>Общехозяйственные расходы</t>
  </si>
  <si>
    <t>Авто</t>
  </si>
  <si>
    <t xml:space="preserve">2. </t>
  </si>
  <si>
    <t>Разработка сетевой организацией проектной документации, всего</t>
  </si>
  <si>
    <t>2.1.</t>
  </si>
  <si>
    <t>2.2.</t>
  </si>
  <si>
    <t>2.3.</t>
  </si>
  <si>
    <t>2.4.</t>
  </si>
  <si>
    <t xml:space="preserve">3. </t>
  </si>
  <si>
    <t>Выполнение ТУ сетевой организацией, всего в т.ч. расходы на строительство объектов электросетевого хозяйства до присоединяемых энергопринимающихустройств и (или) объектов электроэнергетики:</t>
  </si>
  <si>
    <t>3.1.</t>
  </si>
  <si>
    <t>строительство воздушных и (или) кабельных линий</t>
  </si>
  <si>
    <t>3.2.</t>
  </si>
  <si>
    <t xml:space="preserve">строительство пунктов секционирования   </t>
  </si>
  <si>
    <t>3.3.</t>
  </si>
  <si>
    <t>3.4.</t>
  </si>
  <si>
    <t>3.5.</t>
  </si>
  <si>
    <t>организация автоматизированного учета электроэнергии</t>
  </si>
  <si>
    <t>3.6.</t>
  </si>
  <si>
    <t>организация телемеханики (телеуправление, телеизмерение)</t>
  </si>
  <si>
    <t>3.7.</t>
  </si>
  <si>
    <t>организация устройств релейной защиты и ПА, организация связи, компенсация емкостных токов</t>
  </si>
  <si>
    <t>3.8.</t>
  </si>
  <si>
    <t xml:space="preserve">4. </t>
  </si>
  <si>
    <t>Проверка сетевой организацией выполнения</t>
  </si>
  <si>
    <t xml:space="preserve">заявителем ТУ, всего, в т.ч.            </t>
  </si>
  <si>
    <t>4.1.</t>
  </si>
  <si>
    <t>4.2.</t>
  </si>
  <si>
    <t>4.3.</t>
  </si>
  <si>
    <t>4.4.</t>
  </si>
  <si>
    <t xml:space="preserve">5. </t>
  </si>
  <si>
    <t xml:space="preserve">Участие в осмотре должностным лицом Ростехнадзора присоединяемых Устройств, всего, в т.ч. &lt;1&gt; </t>
  </si>
  <si>
    <t>5.1.</t>
  </si>
  <si>
    <t>5.2.</t>
  </si>
  <si>
    <t>5.3.</t>
  </si>
  <si>
    <t xml:space="preserve">6. </t>
  </si>
  <si>
    <t>Фактические действия по присоединению и обеспечению работы Устройств в электрической сети, всего, в т.ч.</t>
  </si>
  <si>
    <t>6.1.</t>
  </si>
  <si>
    <t>6.2.</t>
  </si>
  <si>
    <t>6.3.</t>
  </si>
  <si>
    <t>Автотранспортные затраты</t>
  </si>
  <si>
    <t>6.4.</t>
  </si>
  <si>
    <t>6.5.</t>
  </si>
  <si>
    <t>Перечень заключенных договоров на технологическое присоединение 2016-2018гг АО "ОЭЗ ППТ "Алабуга"</t>
  </si>
  <si>
    <t>№ п/п</t>
  </si>
  <si>
    <t>Резидент/потребитель</t>
  </si>
  <si>
    <t>Договор</t>
  </si>
  <si>
    <t>Мощность, кВт</t>
  </si>
  <si>
    <t xml:space="preserve">Сумма по договору, руб </t>
  </si>
  <si>
    <t>Примечание</t>
  </si>
  <si>
    <t>без учёта НДС</t>
  </si>
  <si>
    <t>2015 год</t>
  </si>
  <si>
    <t>Барс Технолоджи, ООО (стройка)</t>
  </si>
  <si>
    <t>№ ОЭЗ-734/15 от 10.06.2015</t>
  </si>
  <si>
    <t xml:space="preserve">Барс Технолоджи, ООО </t>
  </si>
  <si>
    <t>№ ОЭЗ-862/15 от 16.10.2015</t>
  </si>
  <si>
    <t>ИНТЕРСКОЛ-Алабуга, АО</t>
  </si>
  <si>
    <t>№ ОЭЗ-088/15 от 25.02.2015</t>
  </si>
  <si>
    <t>Хави Логистикс Елабуга, ООО</t>
  </si>
  <si>
    <t>№ ОЭЗ-223/15 от 30.03.2015</t>
  </si>
  <si>
    <t>Итого по 2015 году</t>
  </si>
  <si>
    <t>2016 год</t>
  </si>
  <si>
    <t>СЕПТАЛ, ООО</t>
  </si>
  <si>
    <t>№ ОЭЗ-021/16 от 20.01.2016</t>
  </si>
  <si>
    <t>АЙДЖИЭС АГРО, ООО</t>
  </si>
  <si>
    <t>№ ОЭЗ-220/16 от 01.04.2016</t>
  </si>
  <si>
    <t>КАСТАМОНУ ИНТЕГРЕЙТЕД ВУД ИНДАСТРИ</t>
  </si>
  <si>
    <t>№ ОЭЗ-224/16 от 18.04.2016</t>
  </si>
  <si>
    <t>ХАЯТ КИМЬЯ, ООО</t>
  </si>
  <si>
    <t>№ ОЭЗ-385/16 от 01.06.2016</t>
  </si>
  <si>
    <t>№ ОЭЗ-557/16 от 03.08.2016</t>
  </si>
  <si>
    <t>МПО Иншаат, АО</t>
  </si>
  <si>
    <t>№ ОЭЗ-692/16 от 22.09.2016</t>
  </si>
  <si>
    <t>строители</t>
  </si>
  <si>
    <t>АЙДЖИЭС АГРО, ООО (стройка)</t>
  </si>
  <si>
    <t>№ ОЭЗ-990/16 от 17.10.2016</t>
  </si>
  <si>
    <t>АВГУСТ-АЛАБУГА, ООО (стройка)</t>
  </si>
  <si>
    <t>№ ОЭЗ-1279/16 от 23.12.2016</t>
  </si>
  <si>
    <t>Итого по 2016 году</t>
  </si>
  <si>
    <t>2017 год</t>
  </si>
  <si>
    <t>ООО "Татцемент" (стройка)</t>
  </si>
  <si>
    <t>ОЭЗ-045/17 от 23.01.2017</t>
  </si>
  <si>
    <t>ООО "ТН-Алабуга" (стройка)</t>
  </si>
  <si>
    <t>ОЭЗ-246/17 от 07.02.2017</t>
  </si>
  <si>
    <t>ООО "Август-Алабуга"</t>
  </si>
  <si>
    <t>ОЭЗ-448/17 от 28.02.2017</t>
  </si>
  <si>
    <t>ООО "Транснефть-Синтез"</t>
  </si>
  <si>
    <t>ОЭЗ-553/17 от 13.03.2017</t>
  </si>
  <si>
    <t>ООО "ТН-Алабуга" (завод)</t>
  </si>
  <si>
    <t>ОЭЗ-624/17 от 01.04.2017</t>
  </si>
  <si>
    <t>ООО "НИКА-ПЕТРОТЕК"</t>
  </si>
  <si>
    <t>ОЭЗ-1210/17 от 14.07.2017</t>
  </si>
  <si>
    <t>ООО "Татцемент" (завод)</t>
  </si>
  <si>
    <t>ОЭЗ-1327/17 от 08.08.2017</t>
  </si>
  <si>
    <t>ООО  "СК Электрояр"</t>
  </si>
  <si>
    <t>ОЭЗ-1488/17 от 05.09.2017</t>
  </si>
  <si>
    <t>ООО "СТиМ-Алабуга"</t>
  </si>
  <si>
    <t>ОЭЗ-1661/17 от 02.10.2017</t>
  </si>
  <si>
    <t>ООО "ИНКО-ТЭК Агро Алабуга"</t>
  </si>
  <si>
    <t>ОЭЗ-2140/17 от 30.11.2017</t>
  </si>
  <si>
    <t>Итого по 2017 году</t>
  </si>
  <si>
    <t>2018 год</t>
  </si>
  <si>
    <t>КНТ-ПЛАСТ ООО ПКФ</t>
  </si>
  <si>
    <t>ОЭЗ-326/18 от 16.03.2018</t>
  </si>
  <si>
    <t xml:space="preserve">АГРУСХИМ-АЛАБУГА, ООО </t>
  </si>
  <si>
    <t>ОЭЗ-441/18 от 06.04.2018</t>
  </si>
  <si>
    <t>КНТ-ПЛАСТ ООО ПКФ (стройка)</t>
  </si>
  <si>
    <t>ОЭЗ-486/18 от 20.04.2018</t>
  </si>
  <si>
    <t>СЕВЕРНЫЕ ГАЗОВЫЕ МАГИСТРАЛИ, ООО СГМ ООО</t>
  </si>
  <si>
    <t>ОЭЗ-978/18 от 30.07.2018</t>
  </si>
  <si>
    <t>ФОРТЭКС ООО</t>
  </si>
  <si>
    <t>ОЭЗ-967/18 от 25.07.2018</t>
  </si>
  <si>
    <t>ХАЯТ КИМЬЯ ООО</t>
  </si>
  <si>
    <t>ОЭЗ-757/18 от 27.04.2018</t>
  </si>
  <si>
    <t>Интэко Тюбинг, ООО</t>
  </si>
  <si>
    <t>ОЭЗ-1906/18 от 13.12.2018</t>
  </si>
  <si>
    <t>Алабуга Девелопмент, ООО</t>
  </si>
  <si>
    <t>ОЭЗ-1721/18 от 16.11.2018</t>
  </si>
  <si>
    <t>ОЭЗ-1760/18 от 26.11.2018</t>
  </si>
  <si>
    <t>ОЭЗ-2051/18 от 29.12.2018</t>
  </si>
  <si>
    <t>ОЭЗ-2052/18 от 29.12.2018</t>
  </si>
  <si>
    <t>ОЭЗ-2053/18 от 29.12.2018</t>
  </si>
  <si>
    <t>Итого по 2018 году</t>
  </si>
  <si>
    <t>2019 год</t>
  </si>
  <si>
    <t>ЧОП Колизей, ООО ЧОО</t>
  </si>
  <si>
    <t>ОЭЗ-1230/19 от 16.08.2019</t>
  </si>
  <si>
    <t>ОЭЗ-1231/19 от 16.08.2019</t>
  </si>
  <si>
    <t>Итого по 2019 году</t>
  </si>
  <si>
    <t>Сводная информация по технологическим присоединениям АО "ОЭЗ ППТ "Алабуга" за 2015-2017 гг</t>
  </si>
  <si>
    <t>№</t>
  </si>
  <si>
    <t>Технологические присоединения по годам</t>
  </si>
  <si>
    <t>Кол-во тех.присоединений</t>
  </si>
  <si>
    <t>Итого</t>
  </si>
  <si>
    <t>Средняя мощность одного технологического присоединения за 3 года</t>
  </si>
  <si>
    <t>кВт</t>
  </si>
  <si>
    <t>Средняя стоимость одного технологического присоединения за 3 года</t>
  </si>
  <si>
    <t>руб. (без НДС) за 1 тех.прис.</t>
  </si>
  <si>
    <t>Средняя стоимость одного 1кВт мощности технологического присоединения за 3 года</t>
  </si>
  <si>
    <t>руб. (без НДС) за 1 кВт</t>
  </si>
  <si>
    <t>Главный энергетик</t>
  </si>
  <si>
    <t>А.В.Сираев</t>
  </si>
  <si>
    <t>Перечень технологических присоединений оплаченных за 2016-2018гг</t>
  </si>
  <si>
    <t>№ п</t>
  </si>
  <si>
    <t>Наименование резидента</t>
  </si>
  <si>
    <t>Стоимость технологического присоединения, руб.</t>
  </si>
  <si>
    <t>НДС</t>
  </si>
  <si>
    <t>Перечень технологических присоединений за 2016 год</t>
  </si>
  <si>
    <t>АЙДЖИЭС АГРО ООО</t>
  </si>
  <si>
    <t>ОЭЗ-990/16 от 17.10.2016</t>
  </si>
  <si>
    <t>ОЭЗ-224/16 от 18.04.2016</t>
  </si>
  <si>
    <t>ОЭЗ-692/16 от 22.09.2016</t>
  </si>
  <si>
    <t>Итого за 2016 год</t>
  </si>
  <si>
    <t>Перечень технологических присоединений за 2017 год</t>
  </si>
  <si>
    <t>АВГУСТ-АЛАБУГА ООО</t>
  </si>
  <si>
    <t>ОЭЗ-1279/16 от 23.12.2016</t>
  </si>
  <si>
    <t>ЕЛАБУЖСКИЙ АККУМУЛЯТОРНЫЙ ЗАВОД ООО</t>
  </si>
  <si>
    <t>ОЭЗ-862/15 от 16.10.2015</t>
  </si>
  <si>
    <t>НИКА-ПЕТРОТЭК ООО</t>
  </si>
  <si>
    <t>СК ЭЛЕКТРОЯР ООО</t>
  </si>
  <si>
    <t>ТАТЦЕМЕНТ ООО</t>
  </si>
  <si>
    <t>ТН-АЛАБУГА ООО</t>
  </si>
  <si>
    <t>ОЭЗ-246/17 от 07.02.2017г.</t>
  </si>
  <si>
    <t>Итого за 2017 год</t>
  </si>
  <si>
    <t>Перечень технологических присоединений за 2018 год</t>
  </si>
  <si>
    <t>АГРУСХИМ-АЛАБУГА ООО</t>
  </si>
  <si>
    <t>ОЭЗ-220/16 от 01.04.2016</t>
  </si>
  <si>
    <t>АЛАБУГА ДЕВЕЛОПМЕНТ ООО</t>
  </si>
  <si>
    <t>ИНТЭКО ТЮБИНГ ООО</t>
  </si>
  <si>
    <t>ОЭЗ-557/16 от 03.08.2016</t>
  </si>
  <si>
    <t>ТРАНСНЕФТЬ - СИНТЕЗ ООО</t>
  </si>
  <si>
    <t>ХАЯТ КИМЬЯ</t>
  </si>
  <si>
    <t>ОЭЗ-385/16 от 01.06.2016</t>
  </si>
  <si>
    <t>Итого за 2018 год</t>
  </si>
  <si>
    <t xml:space="preserve">Кол-во тех.присоединений </t>
  </si>
  <si>
    <t>Стоимость тех.присоединений</t>
  </si>
  <si>
    <t>Суммарная мощность тех.присоединений</t>
  </si>
  <si>
    <t>Приложение N 3</t>
  </si>
  <si>
    <t>фактических расходов на выполнение мероприятий</t>
  </si>
  <si>
    <t>по технологическому присоединению, предусмотренных</t>
  </si>
  <si>
    <t>подпунктами "а" и "в" пункта 16 Методических указаний,</t>
  </si>
  <si>
    <t>за 2016-2018 гг</t>
  </si>
  <si>
    <t>(выполняется отдельно по мероприятиям, предусмотренным</t>
  </si>
  <si>
    <r>
      <t>подпунктами "а"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sz val="11"/>
        <color rgb="FF0000FF"/>
        <rFont val="Calibri"/>
        <family val="2"/>
        <charset val="204"/>
        <scheme val="minor"/>
      </rPr>
      <t>"в" пункта 16</t>
    </r>
    <r>
      <rPr>
        <sz val="11"/>
        <color theme="1"/>
        <rFont val="Calibri"/>
        <family val="2"/>
        <charset val="204"/>
        <scheme val="minor"/>
      </rPr>
      <t xml:space="preserve"> Методических указаний)</t>
    </r>
  </si>
  <si>
    <t>тыс. руб.</t>
  </si>
  <si>
    <t>Показатели</t>
  </si>
  <si>
    <t>Данные за предыдущий период регулирования (n-2)</t>
  </si>
  <si>
    <t>Данные за год (n-3), предшествующий предыдущему периоду регулирования</t>
  </si>
  <si>
    <t>Данные за год (n-4), предшествующий году (n-3)</t>
  </si>
  <si>
    <t>Вспомогательные материалы</t>
  </si>
  <si>
    <t>Энергия на хозяйственные нужды</t>
  </si>
  <si>
    <t>Оплата труда ППП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</si>
  <si>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</si>
  <si>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</si>
  <si>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</si>
  <si>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</si>
  <si>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</si>
  <si>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</si>
  <si>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</si>
  <si>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</si>
  <si>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том числе:</t>
  </si>
  <si>
    <t>услуги связи</t>
  </si>
  <si>
    <t>расходы на охрану и пожарную безопасность</t>
  </si>
  <si>
    <t>расходы на информационное обслуживание, иные услуги, связанные с деятельностью по технологическому присоединению</t>
  </si>
  <si>
    <t>плата за аренду имущества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</si>
  <si>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</si>
  <si>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</si>
  <si>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</si>
  <si>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</si>
  <si>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</si>
  <si>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</si>
  <si>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</si>
  <si>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</si>
  <si>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</si>
  <si>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</si>
  <si>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Приложение N 1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</si>
  <si>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</si>
  <si>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</si>
  <si>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</si>
  <si>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инвестиционной программы территориальной</t>
  </si>
  <si>
    <t>сетевой организации</t>
  </si>
  <si>
    <t>АО "ОЭЗ ППТ "Алабуга"</t>
  </si>
  <si>
    <t>(заполняется отдельно для территорий городских</t>
  </si>
  <si>
    <t>населенных пунктов и территорий, не относящихся</t>
  </si>
  <si>
    <t>к городским населенным пунктам)</t>
  </si>
  <si>
    <t>Объект электросетевого хозяйства</t>
  </si>
  <si>
    <t>Год ввода объекта</t>
  </si>
  <si>
    <t>Уровень напряжения, кВ</t>
  </si>
  <si>
    <t>Протяженность (для линий электропередачи), м</t>
  </si>
  <si>
    <t>Пропускная способность, кВт/Максимальная мощность, кВт</t>
  </si>
  <si>
    <t>Расходы на строительство объекта, тыс. руб.</t>
  </si>
  <si>
    <t>Строительство воздушных линий</t>
  </si>
  <si>
    <t>-</t>
  </si>
  <si>
    <t>1.j</t>
  </si>
  <si>
    <t>Материал опоры (деревянные (j = 1), металлические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</si>
  <si>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</si>
  <si>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</si>
  <si>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</si>
  <si>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</si>
  <si>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</si>
  <si>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</si>
  <si>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Строительство кабельных линий</t>
  </si>
  <si>
    <t>2.j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</si>
  <si>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6))</t>
  </si>
  <si>
    <t>2.j.k</t>
  </si>
  <si>
    <t>Одножильные (k = 1) и многожильные (k = 2)</t>
  </si>
  <si>
    <t>2.j.k.l</t>
  </si>
  <si>
    <t>Кабели с резиновой и пластмассовой изоляцией (l = 1), бумажной изоляцией (l = 2)</t>
  </si>
  <si>
    <t>2.j.k.l.m</t>
  </si>
  <si>
    <t>...</t>
  </si>
  <si>
    <t>&lt;пообъектная расшифровка&gt;</t>
  </si>
  <si>
    <t>Строительство пунктов секционирования</t>
  </si>
  <si>
    <t>3.j</t>
  </si>
  <si>
    <t>Реклоузеры (j = 1 распределительные пункты (РП) (j = 2), переключательные пункты (ПП) (j = 3)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</si>
  <si>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</si>
  <si>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</si>
  <si>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4.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</si>
  <si>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</si>
  <si>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</si>
  <si>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</t>
  </si>
  <si>
    <t>4.j.k</t>
  </si>
  <si>
    <t>Однотрансформаторные (k = 1), двухтрансформаторные и более (k = 2)</t>
  </si>
  <si>
    <t>4.j.k.l</t>
  </si>
  <si>
    <t>Трансформаторная мощность до 25 кВА включительно (l = 1), от 25 до 100 кВА включительно (l = 2), от 100 до 250 кВА включительно (l = 3), от 250 до 500 кВА (l = 4), от 500 до 900 кВА включительно (l = 5), свыше 1000 кВА (l = 6)</t>
  </si>
  <si>
    <t>5.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</si>
  <si>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</si>
  <si>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</si>
  <si>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</si>
  <si>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</si>
  <si>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5.j.k.l</t>
  </si>
  <si>
    <t>6.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</si>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</sst>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2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Helv"/>
      <charset val="204"/>
    </font>
    <font>
      <sz val="12"/>
      <name val="Trajan Pro"/>
      <family val="1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Trajan Pro"/>
      <family val="1"/>
    </font>
    <font>
      <b/>
      <sz val="14"/>
      <name val="Trajan Pro"/>
      <family val="1"/>
    </font>
    <font>
      <sz val="10"/>
      <name val="Courier New"/>
      <family val="3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icrosoft Sans Serif"/>
      <family val="2"/>
      <charset val="204"/>
    </font>
    <font>
      <sz val="10"/>
      <color theme="1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rgb="FF0000F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6" fillId="0" borderId="0"/>
    <xf numFmtId="0" fontId="13" fillId="0" borderId="0"/>
    <xf numFmtId="0" fontId="18" fillId="0" borderId="0"/>
    <xf numFmtId="0" fontId="23" fillId="0" borderId="0"/>
    <xf numFmtId="0" fontId="27" fillId="0" borderId="0"/>
    <xf numFmtId="0" fontId="27" fillId="0" borderId="0"/>
  </cellStyleXfs>
  <cellXfs count="136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indent="1"/>
    </xf>
    <xf numFmtId="0" fontId="4" fillId="0" borderId="0" xfId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7" xfId="1" applyBorder="1"/>
    <xf numFmtId="0" fontId="5" fillId="0" borderId="0" xfId="1" applyFont="1" applyAlignment="1">
      <alignment horizontal="justify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top" wrapText="1"/>
    </xf>
    <xf numFmtId="0" fontId="5" fillId="0" borderId="7" xfId="1" applyFont="1" applyBorder="1" applyAlignment="1">
      <alignment vertical="top" wrapText="1"/>
    </xf>
    <xf numFmtId="4" fontId="5" fillId="0" borderId="7" xfId="1" applyNumberFormat="1" applyFont="1" applyBorder="1" applyAlignment="1">
      <alignment vertical="top" wrapText="1"/>
    </xf>
    <xf numFmtId="0" fontId="7" fillId="0" borderId="0" xfId="2" applyFont="1"/>
    <xf numFmtId="0" fontId="8" fillId="0" borderId="0" xfId="1" applyFont="1"/>
    <xf numFmtId="0" fontId="7" fillId="0" borderId="0" xfId="2" applyFont="1" applyFill="1" applyAlignment="1">
      <alignment horizontal="left" indent="4"/>
    </xf>
    <xf numFmtId="0" fontId="7" fillId="0" borderId="0" xfId="2" applyFont="1" applyAlignment="1">
      <alignment horizontal="left" wrapText="1"/>
    </xf>
    <xf numFmtId="0" fontId="9" fillId="0" borderId="0" xfId="1" applyFont="1"/>
    <xf numFmtId="0" fontId="7" fillId="0" borderId="0" xfId="2" applyFont="1" applyAlignment="1"/>
    <xf numFmtId="0" fontId="10" fillId="0" borderId="0" xfId="2" applyFont="1"/>
    <xf numFmtId="0" fontId="4" fillId="0" borderId="0" xfId="1" applyFont="1"/>
    <xf numFmtId="0" fontId="11" fillId="0" borderId="0" xfId="2" applyFont="1"/>
    <xf numFmtId="4" fontId="4" fillId="0" borderId="0" xfId="1" applyNumberFormat="1"/>
    <xf numFmtId="0" fontId="12" fillId="0" borderId="0" xfId="1" applyFont="1" applyAlignment="1"/>
    <xf numFmtId="0" fontId="12" fillId="0" borderId="0" xfId="1" applyFont="1"/>
    <xf numFmtId="0" fontId="4" fillId="0" borderId="7" xfId="1" applyFont="1" applyBorder="1"/>
    <xf numFmtId="2" fontId="5" fillId="0" borderId="7" xfId="1" applyNumberFormat="1" applyFont="1" applyBorder="1" applyAlignment="1">
      <alignment vertical="top" wrapText="1"/>
    </xf>
    <xf numFmtId="0" fontId="4" fillId="0" borderId="8" xfId="1" applyFont="1" applyBorder="1"/>
    <xf numFmtId="4" fontId="4" fillId="0" borderId="7" xfId="1" applyNumberFormat="1" applyBorder="1"/>
    <xf numFmtId="164" fontId="4" fillId="0" borderId="7" xfId="1" applyNumberFormat="1" applyBorder="1"/>
    <xf numFmtId="0" fontId="14" fillId="0" borderId="7" xfId="3" applyFont="1" applyBorder="1" applyAlignment="1">
      <alignment horizontal="justify" vertical="center" wrapText="1"/>
    </xf>
    <xf numFmtId="2" fontId="4" fillId="0" borderId="7" xfId="1" applyNumberFormat="1" applyBorder="1"/>
    <xf numFmtId="0" fontId="5" fillId="0" borderId="7" xfId="1" applyFont="1" applyBorder="1" applyAlignment="1">
      <alignment vertical="top" wrapText="1"/>
    </xf>
    <xf numFmtId="0" fontId="14" fillId="0" borderId="0" xfId="3" applyFont="1" applyBorder="1" applyAlignment="1">
      <alignment horizontal="justify" vertical="center" wrapText="1"/>
    </xf>
    <xf numFmtId="2" fontId="5" fillId="0" borderId="0" xfId="1" applyNumberFormat="1" applyFont="1" applyBorder="1" applyAlignment="1">
      <alignment vertical="top" wrapText="1"/>
    </xf>
    <xf numFmtId="4" fontId="9" fillId="0" borderId="0" xfId="1" applyNumberFormat="1" applyFont="1"/>
    <xf numFmtId="0" fontId="15" fillId="0" borderId="0" xfId="1" applyFont="1" applyAlignment="1">
      <alignment horizontal="center" vertical="center"/>
    </xf>
    <xf numFmtId="0" fontId="14" fillId="0" borderId="0" xfId="1" applyFont="1"/>
    <xf numFmtId="0" fontId="16" fillId="0" borderId="7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/>
    </xf>
    <xf numFmtId="0" fontId="16" fillId="0" borderId="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 wrapText="1"/>
    </xf>
    <xf numFmtId="0" fontId="17" fillId="0" borderId="7" xfId="1" applyFont="1" applyBorder="1" applyAlignment="1">
      <alignment wrapText="1"/>
    </xf>
    <xf numFmtId="4" fontId="14" fillId="2" borderId="7" xfId="4" applyNumberFormat="1" applyFont="1" applyFill="1" applyBorder="1" applyAlignment="1">
      <alignment horizontal="right" vertical="center"/>
    </xf>
    <xf numFmtId="4" fontId="14" fillId="0" borderId="7" xfId="1" applyNumberFormat="1" applyFont="1" applyBorder="1" applyAlignment="1">
      <alignment horizontal="right" vertical="center"/>
    </xf>
    <xf numFmtId="0" fontId="17" fillId="0" borderId="0" xfId="1" applyFont="1" applyAlignment="1">
      <alignment wrapText="1"/>
    </xf>
    <xf numFmtId="0" fontId="16" fillId="0" borderId="7" xfId="1" applyFont="1" applyBorder="1" applyAlignment="1">
      <alignment horizontal="center" vertical="center"/>
    </xf>
    <xf numFmtId="0" fontId="16" fillId="0" borderId="7" xfId="1" applyFont="1" applyBorder="1" applyAlignment="1">
      <alignment horizontal="left" vertical="center" wrapText="1"/>
    </xf>
    <xf numFmtId="0" fontId="16" fillId="2" borderId="7" xfId="4" applyNumberFormat="1" applyFont="1" applyFill="1" applyBorder="1" applyAlignment="1">
      <alignment horizontal="center" vertical="center" wrapText="1"/>
    </xf>
    <xf numFmtId="4" fontId="16" fillId="2" borderId="7" xfId="4" applyNumberFormat="1" applyFont="1" applyFill="1" applyBorder="1" applyAlignment="1">
      <alignment horizontal="right" vertical="center"/>
    </xf>
    <xf numFmtId="0" fontId="14" fillId="0" borderId="7" xfId="1" applyFont="1" applyBorder="1" applyAlignment="1">
      <alignment horizontal="center" vertical="center" wrapText="1"/>
    </xf>
    <xf numFmtId="0" fontId="17" fillId="0" borderId="7" xfId="1" applyFont="1" applyBorder="1" applyAlignment="1">
      <alignment vertical="center" wrapText="1"/>
    </xf>
    <xf numFmtId="2" fontId="14" fillId="0" borderId="7" xfId="1" applyNumberFormat="1" applyFont="1" applyBorder="1" applyAlignment="1">
      <alignment horizontal="right" vertical="center" wrapText="1"/>
    </xf>
    <xf numFmtId="0" fontId="17" fillId="0" borderId="0" xfId="1" applyFont="1" applyAlignment="1">
      <alignment vertical="center" wrapText="1"/>
    </xf>
    <xf numFmtId="0" fontId="14" fillId="2" borderId="7" xfId="4" applyNumberFormat="1" applyFont="1" applyFill="1" applyBorder="1" applyAlignment="1">
      <alignment horizontal="center" vertical="center" wrapText="1"/>
    </xf>
    <xf numFmtId="0" fontId="16" fillId="0" borderId="0" xfId="1" applyFont="1"/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4" fontId="14" fillId="2" borderId="7" xfId="4" applyNumberFormat="1" applyFont="1" applyFill="1" applyBorder="1" applyAlignment="1">
      <alignment horizontal="center" vertical="center"/>
    </xf>
    <xf numFmtId="4" fontId="14" fillId="0" borderId="7" xfId="1" applyNumberFormat="1" applyFont="1" applyBorder="1" applyAlignment="1">
      <alignment horizontal="center" vertical="center"/>
    </xf>
    <xf numFmtId="4" fontId="16" fillId="2" borderId="7" xfId="4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 wrapText="1"/>
    </xf>
    <xf numFmtId="0" fontId="16" fillId="0" borderId="11" xfId="1" applyFont="1" applyBorder="1" applyAlignment="1">
      <alignment horizontal="center"/>
    </xf>
    <xf numFmtId="0" fontId="16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/>
    </xf>
    <xf numFmtId="0" fontId="14" fillId="0" borderId="12" xfId="1" applyFont="1" applyBorder="1" applyAlignment="1">
      <alignment horizontal="center" vertical="center"/>
    </xf>
    <xf numFmtId="0" fontId="14" fillId="0" borderId="12" xfId="1" applyFont="1" applyBorder="1" applyAlignment="1">
      <alignment horizontal="left" vertical="center"/>
    </xf>
    <xf numFmtId="4" fontId="14" fillId="2" borderId="12" xfId="4" applyNumberFormat="1" applyFont="1" applyFill="1" applyBorder="1" applyAlignment="1">
      <alignment horizontal="right" vertical="center"/>
    </xf>
    <xf numFmtId="0" fontId="16" fillId="0" borderId="7" xfId="1" applyFont="1" applyBorder="1" applyAlignment="1">
      <alignment horizontal="left" vertical="center"/>
    </xf>
    <xf numFmtId="3" fontId="16" fillId="2" borderId="7" xfId="4" applyNumberFormat="1" applyFont="1" applyFill="1" applyBorder="1" applyAlignment="1">
      <alignment horizontal="right"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3" fontId="16" fillId="2" borderId="0" xfId="4" applyNumberFormat="1" applyFont="1" applyFill="1" applyBorder="1" applyAlignment="1">
      <alignment horizontal="right" vertical="center"/>
    </xf>
    <xf numFmtId="4" fontId="16" fillId="2" borderId="0" xfId="4" applyNumberFormat="1" applyFont="1" applyFill="1" applyBorder="1" applyAlignment="1">
      <alignment horizontal="right" vertical="center"/>
    </xf>
    <xf numFmtId="0" fontId="14" fillId="0" borderId="0" xfId="1" applyFont="1" applyBorder="1"/>
    <xf numFmtId="0" fontId="16" fillId="0" borderId="7" xfId="1" applyFont="1" applyBorder="1" applyAlignment="1">
      <alignment horizontal="left" vertical="center" wrapText="1"/>
    </xf>
    <xf numFmtId="0" fontId="14" fillId="0" borderId="7" xfId="1" applyFont="1" applyBorder="1"/>
    <xf numFmtId="0" fontId="15" fillId="0" borderId="0" xfId="1" applyFont="1"/>
    <xf numFmtId="0" fontId="19" fillId="0" borderId="0" xfId="0" applyFont="1" applyFill="1" applyAlignment="1">
      <alignment horizontal="center"/>
    </xf>
    <xf numFmtId="0" fontId="0" fillId="0" borderId="0" xfId="0" applyFill="1"/>
    <xf numFmtId="0" fontId="20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24" fillId="0" borderId="7" xfId="5" applyNumberFormat="1" applyFont="1" applyFill="1" applyBorder="1" applyAlignment="1">
      <alignment horizontal="left" vertical="top" wrapText="1"/>
    </xf>
    <xf numFmtId="4" fontId="24" fillId="0" borderId="7" xfId="5" applyNumberFormat="1" applyFont="1" applyFill="1" applyBorder="1" applyAlignment="1">
      <alignment horizontal="right" vertical="top"/>
    </xf>
    <xf numFmtId="4" fontId="24" fillId="0" borderId="7" xfId="5" applyNumberFormat="1" applyFont="1" applyFill="1" applyBorder="1" applyAlignment="1">
      <alignment horizontal="right" vertical="top" wrapText="1"/>
    </xf>
    <xf numFmtId="0" fontId="25" fillId="0" borderId="7" xfId="5" applyNumberFormat="1" applyFont="1" applyFill="1" applyBorder="1" applyAlignment="1">
      <alignment vertical="top" wrapText="1" indent="4"/>
    </xf>
    <xf numFmtId="4" fontId="25" fillId="0" borderId="7" xfId="5" applyNumberFormat="1" applyFont="1" applyFill="1" applyBorder="1" applyAlignment="1">
      <alignment horizontal="right" vertical="top"/>
    </xf>
    <xf numFmtId="4" fontId="25" fillId="0" borderId="7" xfId="5" applyNumberFormat="1" applyFont="1" applyFill="1" applyBorder="1" applyAlignment="1">
      <alignment horizontal="right" vertical="top" wrapText="1"/>
    </xf>
    <xf numFmtId="0" fontId="26" fillId="0" borderId="0" xfId="0" applyFont="1" applyFill="1"/>
    <xf numFmtId="0" fontId="22" fillId="3" borderId="7" xfId="0" applyFont="1" applyFill="1" applyBorder="1" applyAlignment="1">
      <alignment horizontal="center" vertical="center"/>
    </xf>
    <xf numFmtId="0" fontId="24" fillId="3" borderId="7" xfId="5" applyNumberFormat="1" applyFont="1" applyFill="1" applyBorder="1" applyAlignment="1">
      <alignment horizontal="left" vertical="top" wrapText="1"/>
    </xf>
    <xf numFmtId="4" fontId="24" fillId="3" borderId="7" xfId="5" applyNumberFormat="1" applyFont="1" applyFill="1" applyBorder="1" applyAlignment="1">
      <alignment horizontal="right" vertical="top"/>
    </xf>
    <xf numFmtId="4" fontId="24" fillId="3" borderId="7" xfId="5" applyNumberFormat="1" applyFont="1" applyFill="1" applyBorder="1" applyAlignment="1">
      <alignment horizontal="right" vertical="top" wrapText="1"/>
    </xf>
    <xf numFmtId="165" fontId="24" fillId="3" borderId="7" xfId="5" applyNumberFormat="1" applyFont="1" applyFill="1" applyBorder="1" applyAlignment="1">
      <alignment horizontal="right" vertical="top"/>
    </xf>
    <xf numFmtId="0" fontId="0" fillId="0" borderId="0" xfId="0" applyFill="1" applyBorder="1"/>
    <xf numFmtId="4" fontId="0" fillId="0" borderId="0" xfId="0" applyNumberFormat="1" applyFill="1"/>
    <xf numFmtId="0" fontId="2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vertical="center" wrapText="1"/>
    </xf>
    <xf numFmtId="4" fontId="0" fillId="4" borderId="6" xfId="0" applyNumberForma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</cellXfs>
  <cellStyles count="8">
    <cellStyle name="Обычный" xfId="0" builtinId="0"/>
    <cellStyle name="Обычный 2" xfId="1"/>
    <cellStyle name="Обычный 2 2" xfId="7"/>
    <cellStyle name="Обычный 3" xfId="4"/>
    <cellStyle name="Обычный 4" xfId="6"/>
    <cellStyle name="Обычный_2008_05_04_Калькуляция по таможне АДЦ_ППДТ2" xfId="2"/>
    <cellStyle name="Обычный_Лист1" xfId="5"/>
    <cellStyle name="Обычный_Прил.№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_10_16_&#1050;&#1086;&#1084;&#1087;&#1083;&#1077;&#1082;&#1090;_&#1076;&#1086;&#1082;&#1091;&#1084;&#1077;&#1085;&#1090;&#1086;&#1074;_&#1085;&#1072;%20&#1090;&#1077;&#1093;&#1087;&#1088;&#1080;&#1089;%20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2_1_Расчёт_план_затрат 2020"/>
      <sheetName val="2_2_Приложение 1"/>
      <sheetName val="2_3_Приложение 2"/>
      <sheetName val="Калькуляция_2020"/>
      <sheetName val="Расчёт ФОТ_Авто_2020"/>
      <sheetName val="2015-2017"/>
      <sheetName val="Мощность 2016_2018"/>
      <sheetName val="Оплата_2016_2018"/>
      <sheetName val="Структура затрат 2018"/>
      <sheetName val="Справа расчёт"/>
      <sheetName val="2015-2018"/>
    </sheetNames>
    <sheetDataSet>
      <sheetData sheetId="0"/>
      <sheetData sheetId="1"/>
      <sheetData sheetId="2"/>
      <sheetData sheetId="3"/>
      <sheetData sheetId="4"/>
      <sheetData sheetId="5">
        <row r="15">
          <cell r="C15">
            <v>1789.33</v>
          </cell>
        </row>
      </sheetData>
      <sheetData sheetId="6"/>
      <sheetData sheetId="7"/>
      <sheetData sheetId="8"/>
      <sheetData sheetId="9">
        <row r="30">
          <cell r="K30">
            <v>927.97</v>
          </cell>
        </row>
        <row r="33">
          <cell r="K33">
            <v>636.87</v>
          </cell>
        </row>
        <row r="38">
          <cell r="K38">
            <v>7352.6900000000005</v>
          </cell>
        </row>
        <row r="39">
          <cell r="K39">
            <v>8917.5300000000007</v>
          </cell>
        </row>
        <row r="46">
          <cell r="F46">
            <v>1534.3</v>
          </cell>
        </row>
      </sheetData>
      <sheetData sheetId="10"/>
      <sheetData sheetId="11"/>
      <sheetData sheetId="12"/>
      <sheetData sheetId="13">
        <row r="21">
          <cell r="C21">
            <v>176352.56908196933</v>
          </cell>
        </row>
        <row r="22">
          <cell r="C22">
            <v>44045.804385337324</v>
          </cell>
        </row>
        <row r="23">
          <cell r="C23">
            <v>32075.545496619619</v>
          </cell>
        </row>
        <row r="24">
          <cell r="C24">
            <v>38938.078467598141</v>
          </cell>
        </row>
        <row r="25">
          <cell r="C25">
            <v>87857.802568475658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45"/>
  <sheetViews>
    <sheetView view="pageBreakPreview" zoomScaleNormal="100" workbookViewId="0">
      <selection activeCell="K55" sqref="K55"/>
    </sheetView>
  </sheetViews>
  <sheetFormatPr defaultRowHeight="12.75"/>
  <cols>
    <col min="1" max="1" width="9.140625" style="27"/>
    <col min="2" max="2" width="45.42578125" style="27" customWidth="1"/>
    <col min="3" max="3" width="18" style="27" customWidth="1"/>
    <col min="4" max="4" width="20.5703125" style="27" customWidth="1"/>
    <col min="5" max="7" width="0" style="27" hidden="1" customWidth="1"/>
    <col min="8" max="257" width="9.140625" style="27"/>
    <col min="258" max="258" width="45.42578125" style="27" customWidth="1"/>
    <col min="259" max="259" width="18" style="27" customWidth="1"/>
    <col min="260" max="260" width="20.5703125" style="27" customWidth="1"/>
    <col min="261" max="513" width="9.140625" style="27"/>
    <col min="514" max="514" width="45.42578125" style="27" customWidth="1"/>
    <col min="515" max="515" width="18" style="27" customWidth="1"/>
    <col min="516" max="516" width="20.5703125" style="27" customWidth="1"/>
    <col min="517" max="769" width="9.140625" style="27"/>
    <col min="770" max="770" width="45.42578125" style="27" customWidth="1"/>
    <col min="771" max="771" width="18" style="27" customWidth="1"/>
    <col min="772" max="772" width="20.5703125" style="27" customWidth="1"/>
    <col min="773" max="1025" width="9.140625" style="27"/>
    <col min="1026" max="1026" width="45.42578125" style="27" customWidth="1"/>
    <col min="1027" max="1027" width="18" style="27" customWidth="1"/>
    <col min="1028" max="1028" width="20.5703125" style="27" customWidth="1"/>
    <col min="1029" max="1281" width="9.140625" style="27"/>
    <col min="1282" max="1282" width="45.42578125" style="27" customWidth="1"/>
    <col min="1283" max="1283" width="18" style="27" customWidth="1"/>
    <col min="1284" max="1284" width="20.5703125" style="27" customWidth="1"/>
    <col min="1285" max="1537" width="9.140625" style="27"/>
    <col min="1538" max="1538" width="45.42578125" style="27" customWidth="1"/>
    <col min="1539" max="1539" width="18" style="27" customWidth="1"/>
    <col min="1540" max="1540" width="20.5703125" style="27" customWidth="1"/>
    <col min="1541" max="1793" width="9.140625" style="27"/>
    <col min="1794" max="1794" width="45.42578125" style="27" customWidth="1"/>
    <col min="1795" max="1795" width="18" style="27" customWidth="1"/>
    <col min="1796" max="1796" width="20.5703125" style="27" customWidth="1"/>
    <col min="1797" max="2049" width="9.140625" style="27"/>
    <col min="2050" max="2050" width="45.42578125" style="27" customWidth="1"/>
    <col min="2051" max="2051" width="18" style="27" customWidth="1"/>
    <col min="2052" max="2052" width="20.5703125" style="27" customWidth="1"/>
    <col min="2053" max="2305" width="9.140625" style="27"/>
    <col min="2306" max="2306" width="45.42578125" style="27" customWidth="1"/>
    <col min="2307" max="2307" width="18" style="27" customWidth="1"/>
    <col min="2308" max="2308" width="20.5703125" style="27" customWidth="1"/>
    <col min="2309" max="2561" width="9.140625" style="27"/>
    <col min="2562" max="2562" width="45.42578125" style="27" customWidth="1"/>
    <col min="2563" max="2563" width="18" style="27" customWidth="1"/>
    <col min="2564" max="2564" width="20.5703125" style="27" customWidth="1"/>
    <col min="2565" max="2817" width="9.140625" style="27"/>
    <col min="2818" max="2818" width="45.42578125" style="27" customWidth="1"/>
    <col min="2819" max="2819" width="18" style="27" customWidth="1"/>
    <col min="2820" max="2820" width="20.5703125" style="27" customWidth="1"/>
    <col min="2821" max="3073" width="9.140625" style="27"/>
    <col min="3074" max="3074" width="45.42578125" style="27" customWidth="1"/>
    <col min="3075" max="3075" width="18" style="27" customWidth="1"/>
    <col min="3076" max="3076" width="20.5703125" style="27" customWidth="1"/>
    <col min="3077" max="3329" width="9.140625" style="27"/>
    <col min="3330" max="3330" width="45.42578125" style="27" customWidth="1"/>
    <col min="3331" max="3331" width="18" style="27" customWidth="1"/>
    <col min="3332" max="3332" width="20.5703125" style="27" customWidth="1"/>
    <col min="3333" max="3585" width="9.140625" style="27"/>
    <col min="3586" max="3586" width="45.42578125" style="27" customWidth="1"/>
    <col min="3587" max="3587" width="18" style="27" customWidth="1"/>
    <col min="3588" max="3588" width="20.5703125" style="27" customWidth="1"/>
    <col min="3589" max="3841" width="9.140625" style="27"/>
    <col min="3842" max="3842" width="45.42578125" style="27" customWidth="1"/>
    <col min="3843" max="3843" width="18" style="27" customWidth="1"/>
    <col min="3844" max="3844" width="20.5703125" style="27" customWidth="1"/>
    <col min="3845" max="4097" width="9.140625" style="27"/>
    <col min="4098" max="4098" width="45.42578125" style="27" customWidth="1"/>
    <col min="4099" max="4099" width="18" style="27" customWidth="1"/>
    <col min="4100" max="4100" width="20.5703125" style="27" customWidth="1"/>
    <col min="4101" max="4353" width="9.140625" style="27"/>
    <col min="4354" max="4354" width="45.42578125" style="27" customWidth="1"/>
    <col min="4355" max="4355" width="18" style="27" customWidth="1"/>
    <col min="4356" max="4356" width="20.5703125" style="27" customWidth="1"/>
    <col min="4357" max="4609" width="9.140625" style="27"/>
    <col min="4610" max="4610" width="45.42578125" style="27" customWidth="1"/>
    <col min="4611" max="4611" width="18" style="27" customWidth="1"/>
    <col min="4612" max="4612" width="20.5703125" style="27" customWidth="1"/>
    <col min="4613" max="4865" width="9.140625" style="27"/>
    <col min="4866" max="4866" width="45.42578125" style="27" customWidth="1"/>
    <col min="4867" max="4867" width="18" style="27" customWidth="1"/>
    <col min="4868" max="4868" width="20.5703125" style="27" customWidth="1"/>
    <col min="4869" max="5121" width="9.140625" style="27"/>
    <col min="5122" max="5122" width="45.42578125" style="27" customWidth="1"/>
    <col min="5123" max="5123" width="18" style="27" customWidth="1"/>
    <col min="5124" max="5124" width="20.5703125" style="27" customWidth="1"/>
    <col min="5125" max="5377" width="9.140625" style="27"/>
    <col min="5378" max="5378" width="45.42578125" style="27" customWidth="1"/>
    <col min="5379" max="5379" width="18" style="27" customWidth="1"/>
    <col min="5380" max="5380" width="20.5703125" style="27" customWidth="1"/>
    <col min="5381" max="5633" width="9.140625" style="27"/>
    <col min="5634" max="5634" width="45.42578125" style="27" customWidth="1"/>
    <col min="5635" max="5635" width="18" style="27" customWidth="1"/>
    <col min="5636" max="5636" width="20.5703125" style="27" customWidth="1"/>
    <col min="5637" max="5889" width="9.140625" style="27"/>
    <col min="5890" max="5890" width="45.42578125" style="27" customWidth="1"/>
    <col min="5891" max="5891" width="18" style="27" customWidth="1"/>
    <col min="5892" max="5892" width="20.5703125" style="27" customWidth="1"/>
    <col min="5893" max="6145" width="9.140625" style="27"/>
    <col min="6146" max="6146" width="45.42578125" style="27" customWidth="1"/>
    <col min="6147" max="6147" width="18" style="27" customWidth="1"/>
    <col min="6148" max="6148" width="20.5703125" style="27" customWidth="1"/>
    <col min="6149" max="6401" width="9.140625" style="27"/>
    <col min="6402" max="6402" width="45.42578125" style="27" customWidth="1"/>
    <col min="6403" max="6403" width="18" style="27" customWidth="1"/>
    <col min="6404" max="6404" width="20.5703125" style="27" customWidth="1"/>
    <col min="6405" max="6657" width="9.140625" style="27"/>
    <col min="6658" max="6658" width="45.42578125" style="27" customWidth="1"/>
    <col min="6659" max="6659" width="18" style="27" customWidth="1"/>
    <col min="6660" max="6660" width="20.5703125" style="27" customWidth="1"/>
    <col min="6661" max="6913" width="9.140625" style="27"/>
    <col min="6914" max="6914" width="45.42578125" style="27" customWidth="1"/>
    <col min="6915" max="6915" width="18" style="27" customWidth="1"/>
    <col min="6916" max="6916" width="20.5703125" style="27" customWidth="1"/>
    <col min="6917" max="7169" width="9.140625" style="27"/>
    <col min="7170" max="7170" width="45.42578125" style="27" customWidth="1"/>
    <col min="7171" max="7171" width="18" style="27" customWidth="1"/>
    <col min="7172" max="7172" width="20.5703125" style="27" customWidth="1"/>
    <col min="7173" max="7425" width="9.140625" style="27"/>
    <col min="7426" max="7426" width="45.42578125" style="27" customWidth="1"/>
    <col min="7427" max="7427" width="18" style="27" customWidth="1"/>
    <col min="7428" max="7428" width="20.5703125" style="27" customWidth="1"/>
    <col min="7429" max="7681" width="9.140625" style="27"/>
    <col min="7682" max="7682" width="45.42578125" style="27" customWidth="1"/>
    <col min="7683" max="7683" width="18" style="27" customWidth="1"/>
    <col min="7684" max="7684" width="20.5703125" style="27" customWidth="1"/>
    <col min="7685" max="7937" width="9.140625" style="27"/>
    <col min="7938" max="7938" width="45.42578125" style="27" customWidth="1"/>
    <col min="7939" max="7939" width="18" style="27" customWidth="1"/>
    <col min="7940" max="7940" width="20.5703125" style="27" customWidth="1"/>
    <col min="7941" max="8193" width="9.140625" style="27"/>
    <col min="8194" max="8194" width="45.42578125" style="27" customWidth="1"/>
    <col min="8195" max="8195" width="18" style="27" customWidth="1"/>
    <col min="8196" max="8196" width="20.5703125" style="27" customWidth="1"/>
    <col min="8197" max="8449" width="9.140625" style="27"/>
    <col min="8450" max="8450" width="45.42578125" style="27" customWidth="1"/>
    <col min="8451" max="8451" width="18" style="27" customWidth="1"/>
    <col min="8452" max="8452" width="20.5703125" style="27" customWidth="1"/>
    <col min="8453" max="8705" width="9.140625" style="27"/>
    <col min="8706" max="8706" width="45.42578125" style="27" customWidth="1"/>
    <col min="8707" max="8707" width="18" style="27" customWidth="1"/>
    <col min="8708" max="8708" width="20.5703125" style="27" customWidth="1"/>
    <col min="8709" max="8961" width="9.140625" style="27"/>
    <col min="8962" max="8962" width="45.42578125" style="27" customWidth="1"/>
    <col min="8963" max="8963" width="18" style="27" customWidth="1"/>
    <col min="8964" max="8964" width="20.5703125" style="27" customWidth="1"/>
    <col min="8965" max="9217" width="9.140625" style="27"/>
    <col min="9218" max="9218" width="45.42578125" style="27" customWidth="1"/>
    <col min="9219" max="9219" width="18" style="27" customWidth="1"/>
    <col min="9220" max="9220" width="20.5703125" style="27" customWidth="1"/>
    <col min="9221" max="9473" width="9.140625" style="27"/>
    <col min="9474" max="9474" width="45.42578125" style="27" customWidth="1"/>
    <col min="9475" max="9475" width="18" style="27" customWidth="1"/>
    <col min="9476" max="9476" width="20.5703125" style="27" customWidth="1"/>
    <col min="9477" max="9729" width="9.140625" style="27"/>
    <col min="9730" max="9730" width="45.42578125" style="27" customWidth="1"/>
    <col min="9731" max="9731" width="18" style="27" customWidth="1"/>
    <col min="9732" max="9732" width="20.5703125" style="27" customWidth="1"/>
    <col min="9733" max="9985" width="9.140625" style="27"/>
    <col min="9986" max="9986" width="45.42578125" style="27" customWidth="1"/>
    <col min="9987" max="9987" width="18" style="27" customWidth="1"/>
    <col min="9988" max="9988" width="20.5703125" style="27" customWidth="1"/>
    <col min="9989" max="10241" width="9.140625" style="27"/>
    <col min="10242" max="10242" width="45.42578125" style="27" customWidth="1"/>
    <col min="10243" max="10243" width="18" style="27" customWidth="1"/>
    <col min="10244" max="10244" width="20.5703125" style="27" customWidth="1"/>
    <col min="10245" max="10497" width="9.140625" style="27"/>
    <col min="10498" max="10498" width="45.42578125" style="27" customWidth="1"/>
    <col min="10499" max="10499" width="18" style="27" customWidth="1"/>
    <col min="10500" max="10500" width="20.5703125" style="27" customWidth="1"/>
    <col min="10501" max="10753" width="9.140625" style="27"/>
    <col min="10754" max="10754" width="45.42578125" style="27" customWidth="1"/>
    <col min="10755" max="10755" width="18" style="27" customWidth="1"/>
    <col min="10756" max="10756" width="20.5703125" style="27" customWidth="1"/>
    <col min="10757" max="11009" width="9.140625" style="27"/>
    <col min="11010" max="11010" width="45.42578125" style="27" customWidth="1"/>
    <col min="11011" max="11011" width="18" style="27" customWidth="1"/>
    <col min="11012" max="11012" width="20.5703125" style="27" customWidth="1"/>
    <col min="11013" max="11265" width="9.140625" style="27"/>
    <col min="11266" max="11266" width="45.42578125" style="27" customWidth="1"/>
    <col min="11267" max="11267" width="18" style="27" customWidth="1"/>
    <col min="11268" max="11268" width="20.5703125" style="27" customWidth="1"/>
    <col min="11269" max="11521" width="9.140625" style="27"/>
    <col min="11522" max="11522" width="45.42578125" style="27" customWidth="1"/>
    <col min="11523" max="11523" width="18" style="27" customWidth="1"/>
    <col min="11524" max="11524" width="20.5703125" style="27" customWidth="1"/>
    <col min="11525" max="11777" width="9.140625" style="27"/>
    <col min="11778" max="11778" width="45.42578125" style="27" customWidth="1"/>
    <col min="11779" max="11779" width="18" style="27" customWidth="1"/>
    <col min="11780" max="11780" width="20.5703125" style="27" customWidth="1"/>
    <col min="11781" max="12033" width="9.140625" style="27"/>
    <col min="12034" max="12034" width="45.42578125" style="27" customWidth="1"/>
    <col min="12035" max="12035" width="18" style="27" customWidth="1"/>
    <col min="12036" max="12036" width="20.5703125" style="27" customWidth="1"/>
    <col min="12037" max="12289" width="9.140625" style="27"/>
    <col min="12290" max="12290" width="45.42578125" style="27" customWidth="1"/>
    <col min="12291" max="12291" width="18" style="27" customWidth="1"/>
    <col min="12292" max="12292" width="20.5703125" style="27" customWidth="1"/>
    <col min="12293" max="12545" width="9.140625" style="27"/>
    <col min="12546" max="12546" width="45.42578125" style="27" customWidth="1"/>
    <col min="12547" max="12547" width="18" style="27" customWidth="1"/>
    <col min="12548" max="12548" width="20.5703125" style="27" customWidth="1"/>
    <col min="12549" max="12801" width="9.140625" style="27"/>
    <col min="12802" max="12802" width="45.42578125" style="27" customWidth="1"/>
    <col min="12803" max="12803" width="18" style="27" customWidth="1"/>
    <col min="12804" max="12804" width="20.5703125" style="27" customWidth="1"/>
    <col min="12805" max="13057" width="9.140625" style="27"/>
    <col min="13058" max="13058" width="45.42578125" style="27" customWidth="1"/>
    <col min="13059" max="13059" width="18" style="27" customWidth="1"/>
    <col min="13060" max="13060" width="20.5703125" style="27" customWidth="1"/>
    <col min="13061" max="13313" width="9.140625" style="27"/>
    <col min="13314" max="13314" width="45.42578125" style="27" customWidth="1"/>
    <col min="13315" max="13315" width="18" style="27" customWidth="1"/>
    <col min="13316" max="13316" width="20.5703125" style="27" customWidth="1"/>
    <col min="13317" max="13569" width="9.140625" style="27"/>
    <col min="13570" max="13570" width="45.42578125" style="27" customWidth="1"/>
    <col min="13571" max="13571" width="18" style="27" customWidth="1"/>
    <col min="13572" max="13572" width="20.5703125" style="27" customWidth="1"/>
    <col min="13573" max="13825" width="9.140625" style="27"/>
    <col min="13826" max="13826" width="45.42578125" style="27" customWidth="1"/>
    <col min="13827" max="13827" width="18" style="27" customWidth="1"/>
    <col min="13828" max="13828" width="20.5703125" style="27" customWidth="1"/>
    <col min="13829" max="14081" width="9.140625" style="27"/>
    <col min="14082" max="14082" width="45.42578125" style="27" customWidth="1"/>
    <col min="14083" max="14083" width="18" style="27" customWidth="1"/>
    <col min="14084" max="14084" width="20.5703125" style="27" customWidth="1"/>
    <col min="14085" max="14337" width="9.140625" style="27"/>
    <col min="14338" max="14338" width="45.42578125" style="27" customWidth="1"/>
    <col min="14339" max="14339" width="18" style="27" customWidth="1"/>
    <col min="14340" max="14340" width="20.5703125" style="27" customWidth="1"/>
    <col min="14341" max="14593" width="9.140625" style="27"/>
    <col min="14594" max="14594" width="45.42578125" style="27" customWidth="1"/>
    <col min="14595" max="14595" width="18" style="27" customWidth="1"/>
    <col min="14596" max="14596" width="20.5703125" style="27" customWidth="1"/>
    <col min="14597" max="14849" width="9.140625" style="27"/>
    <col min="14850" max="14850" width="45.42578125" style="27" customWidth="1"/>
    <col min="14851" max="14851" width="18" style="27" customWidth="1"/>
    <col min="14852" max="14852" width="20.5703125" style="27" customWidth="1"/>
    <col min="14853" max="15105" width="9.140625" style="27"/>
    <col min="15106" max="15106" width="45.42578125" style="27" customWidth="1"/>
    <col min="15107" max="15107" width="18" style="27" customWidth="1"/>
    <col min="15108" max="15108" width="20.5703125" style="27" customWidth="1"/>
    <col min="15109" max="15361" width="9.140625" style="27"/>
    <col min="15362" max="15362" width="45.42578125" style="27" customWidth="1"/>
    <col min="15363" max="15363" width="18" style="27" customWidth="1"/>
    <col min="15364" max="15364" width="20.5703125" style="27" customWidth="1"/>
    <col min="15365" max="15617" width="9.140625" style="27"/>
    <col min="15618" max="15618" width="45.42578125" style="27" customWidth="1"/>
    <col min="15619" max="15619" width="18" style="27" customWidth="1"/>
    <col min="15620" max="15620" width="20.5703125" style="27" customWidth="1"/>
    <col min="15621" max="15873" width="9.140625" style="27"/>
    <col min="15874" max="15874" width="45.42578125" style="27" customWidth="1"/>
    <col min="15875" max="15875" width="18" style="27" customWidth="1"/>
    <col min="15876" max="15876" width="20.5703125" style="27" customWidth="1"/>
    <col min="15877" max="16129" width="9.140625" style="27"/>
    <col min="16130" max="16130" width="45.42578125" style="27" customWidth="1"/>
    <col min="16131" max="16131" width="18" style="27" customWidth="1"/>
    <col min="16132" max="16132" width="20.5703125" style="27" customWidth="1"/>
    <col min="16133" max="16384" width="9.140625" style="27"/>
  </cols>
  <sheetData>
    <row r="1" spans="1:6" ht="15">
      <c r="D1" s="28" t="s">
        <v>25</v>
      </c>
    </row>
    <row r="2" spans="1:6" ht="12" customHeight="1">
      <c r="A2" s="28"/>
    </row>
    <row r="3" spans="1:6" ht="15">
      <c r="A3" s="29" t="s">
        <v>26</v>
      </c>
      <c r="B3" s="29"/>
      <c r="C3" s="29"/>
      <c r="D3" s="29"/>
    </row>
    <row r="4" spans="1:6" ht="15">
      <c r="A4" s="29" t="s">
        <v>27</v>
      </c>
      <c r="B4" s="29"/>
      <c r="C4" s="29"/>
      <c r="D4" s="29"/>
      <c r="F4" s="27">
        <v>1.03</v>
      </c>
    </row>
    <row r="5" spans="1:6" ht="15">
      <c r="A5" s="29" t="s">
        <v>28</v>
      </c>
      <c r="B5" s="29"/>
      <c r="C5" s="29"/>
      <c r="D5" s="29"/>
      <c r="F5" s="30">
        <v>0.3024</v>
      </c>
    </row>
    <row r="6" spans="1:6" ht="9" customHeight="1">
      <c r="A6" s="31"/>
    </row>
    <row r="7" spans="1:6" ht="15">
      <c r="D7" s="28" t="s">
        <v>29</v>
      </c>
    </row>
    <row r="8" spans="1:6" ht="45">
      <c r="A8" s="32" t="s">
        <v>30</v>
      </c>
      <c r="B8" s="32" t="s">
        <v>31</v>
      </c>
      <c r="C8" s="32" t="s">
        <v>32</v>
      </c>
      <c r="D8" s="32" t="s">
        <v>33</v>
      </c>
    </row>
    <row r="9" spans="1:6" ht="15">
      <c r="A9" s="33">
        <v>1</v>
      </c>
      <c r="B9" s="33">
        <v>2</v>
      </c>
      <c r="C9" s="33">
        <v>3</v>
      </c>
      <c r="D9" s="33">
        <v>4</v>
      </c>
    </row>
    <row r="10" spans="1:6" ht="30">
      <c r="A10" s="34" t="s">
        <v>34</v>
      </c>
      <c r="B10" s="34" t="s">
        <v>35</v>
      </c>
      <c r="C10" s="35">
        <f>SUM(C11:C15)</f>
        <v>20233.1459</v>
      </c>
      <c r="D10" s="35">
        <f>SUM(D11:D15)</f>
        <v>20840.140477000001</v>
      </c>
    </row>
    <row r="11" spans="1:6" ht="15">
      <c r="A11" s="34" t="s">
        <v>36</v>
      </c>
      <c r="B11" s="34" t="s">
        <v>37</v>
      </c>
      <c r="C11" s="35"/>
      <c r="D11" s="34"/>
    </row>
    <row r="12" spans="1:6" ht="15">
      <c r="A12" s="34" t="s">
        <v>38</v>
      </c>
      <c r="B12" s="34" t="s">
        <v>39</v>
      </c>
      <c r="C12" s="35"/>
      <c r="D12" s="34"/>
    </row>
    <row r="13" spans="1:6" ht="15">
      <c r="A13" s="34" t="s">
        <v>40</v>
      </c>
      <c r="B13" s="34" t="s">
        <v>41</v>
      </c>
      <c r="C13" s="35">
        <f>'[1]Расчёт ФОТ_Авто_2020'!K39</f>
        <v>8917.5300000000007</v>
      </c>
      <c r="D13" s="35">
        <f>C13*$F$4</f>
        <v>9185.0559000000012</v>
      </c>
    </row>
    <row r="14" spans="1:6" ht="15">
      <c r="A14" s="34" t="s">
        <v>42</v>
      </c>
      <c r="B14" s="34" t="s">
        <v>43</v>
      </c>
      <c r="C14" s="35">
        <f>ROUND(C13*F5,2)</f>
        <v>2696.66</v>
      </c>
      <c r="D14" s="35">
        <f>ROUND(D13*F5,2)</f>
        <v>2777.56</v>
      </c>
    </row>
    <row r="15" spans="1:6" ht="15">
      <c r="A15" s="34" t="s">
        <v>44</v>
      </c>
      <c r="B15" s="34" t="s">
        <v>45</v>
      </c>
      <c r="C15" s="35">
        <f>SUM(C16:C18)</f>
        <v>8618.955899999999</v>
      </c>
      <c r="D15" s="35">
        <f>SUM(D16:D18)</f>
        <v>8877.5245769999983</v>
      </c>
    </row>
    <row r="16" spans="1:6" ht="15">
      <c r="A16" s="34" t="s">
        <v>46</v>
      </c>
      <c r="B16" s="34" t="s">
        <v>47</v>
      </c>
      <c r="C16" s="35"/>
      <c r="D16" s="35"/>
    </row>
    <row r="17" spans="1:5" ht="15">
      <c r="A17" s="34" t="s">
        <v>48</v>
      </c>
      <c r="B17" s="34" t="s">
        <v>49</v>
      </c>
      <c r="C17" s="35"/>
      <c r="D17" s="35"/>
    </row>
    <row r="18" spans="1:5" ht="30">
      <c r="A18" s="34" t="s">
        <v>50</v>
      </c>
      <c r="B18" s="34" t="s">
        <v>51</v>
      </c>
      <c r="C18" s="35">
        <f>SUM(C19:C23)</f>
        <v>8618.955899999999</v>
      </c>
      <c r="D18" s="35">
        <f>SUM(D19:D23)</f>
        <v>8877.5245769999983</v>
      </c>
    </row>
    <row r="19" spans="1:5" ht="15">
      <c r="A19" s="34" t="s">
        <v>52</v>
      </c>
      <c r="B19" s="34" t="s">
        <v>53</v>
      </c>
      <c r="C19" s="35"/>
      <c r="D19" s="35"/>
    </row>
    <row r="20" spans="1:5" ht="15">
      <c r="A20" s="34" t="s">
        <v>54</v>
      </c>
      <c r="B20" s="34" t="s">
        <v>55</v>
      </c>
      <c r="C20" s="35"/>
      <c r="D20" s="35"/>
    </row>
    <row r="21" spans="1:5" ht="30">
      <c r="A21" s="34" t="s">
        <v>56</v>
      </c>
      <c r="B21" s="34" t="s">
        <v>57</v>
      </c>
      <c r="C21" s="35"/>
      <c r="D21" s="35"/>
    </row>
    <row r="22" spans="1:5" ht="15">
      <c r="A22" s="34" t="s">
        <v>58</v>
      </c>
      <c r="B22" s="34" t="s">
        <v>59</v>
      </c>
      <c r="C22" s="35"/>
      <c r="D22" s="35"/>
    </row>
    <row r="23" spans="1:5" ht="30">
      <c r="A23" s="34" t="s">
        <v>60</v>
      </c>
      <c r="B23" s="34" t="s">
        <v>61</v>
      </c>
      <c r="C23" s="35">
        <f>'3_Расходы'!I46</f>
        <v>8618.955899999999</v>
      </c>
      <c r="D23" s="35">
        <f>C23*$F$4</f>
        <v>8877.5245769999983</v>
      </c>
      <c r="E23" s="27" t="s">
        <v>62</v>
      </c>
    </row>
    <row r="24" spans="1:5" ht="15">
      <c r="A24" s="34" t="s">
        <v>63</v>
      </c>
      <c r="B24" s="34"/>
      <c r="C24" s="35">
        <f>SUM(C25:C30)</f>
        <v>0</v>
      </c>
      <c r="D24" s="35">
        <v>0</v>
      </c>
    </row>
    <row r="25" spans="1:5" ht="15">
      <c r="A25" s="34" t="s">
        <v>64</v>
      </c>
      <c r="B25" s="34" t="s">
        <v>65</v>
      </c>
      <c r="C25" s="35"/>
      <c r="D25" s="35"/>
    </row>
    <row r="26" spans="1:5" ht="15">
      <c r="A26" s="34" t="s">
        <v>66</v>
      </c>
      <c r="B26" s="34" t="s">
        <v>67</v>
      </c>
      <c r="C26" s="35"/>
      <c r="D26" s="35"/>
    </row>
    <row r="27" spans="1:5" ht="15">
      <c r="A27" s="34" t="s">
        <v>68</v>
      </c>
      <c r="B27" s="34" t="s">
        <v>69</v>
      </c>
      <c r="C27" s="35"/>
      <c r="D27" s="35"/>
    </row>
    <row r="28" spans="1:5" ht="15">
      <c r="A28" s="34" t="s">
        <v>70</v>
      </c>
      <c r="B28" s="34" t="s">
        <v>71</v>
      </c>
      <c r="C28" s="35"/>
      <c r="D28" s="35"/>
    </row>
    <row r="29" spans="1:5" ht="30">
      <c r="A29" s="34" t="s">
        <v>72</v>
      </c>
      <c r="B29" s="34" t="s">
        <v>73</v>
      </c>
      <c r="C29" s="35"/>
      <c r="D29" s="35"/>
    </row>
    <row r="30" spans="1:5" ht="15">
      <c r="A30" s="34" t="s">
        <v>74</v>
      </c>
      <c r="B30" s="34" t="s">
        <v>75</v>
      </c>
      <c r="C30" s="35"/>
      <c r="D30" s="35"/>
    </row>
    <row r="31" spans="1:5" ht="75.75" customHeight="1">
      <c r="A31" s="34" t="s">
        <v>76</v>
      </c>
      <c r="B31" s="34" t="s">
        <v>77</v>
      </c>
      <c r="C31" s="35">
        <f>'3_Расходы'!H23</f>
        <v>0</v>
      </c>
      <c r="D31" s="35">
        <v>0</v>
      </c>
    </row>
    <row r="32" spans="1:5" ht="15">
      <c r="A32" s="34" t="s">
        <v>78</v>
      </c>
      <c r="B32" s="34" t="s">
        <v>79</v>
      </c>
      <c r="C32" s="35"/>
      <c r="D32" s="35"/>
    </row>
    <row r="33" spans="1:7" ht="30">
      <c r="A33" s="34" t="s">
        <v>80</v>
      </c>
      <c r="B33" s="34" t="s">
        <v>81</v>
      </c>
      <c r="C33" s="35">
        <f>'3_Расходы'!H28</f>
        <v>0</v>
      </c>
      <c r="D33" s="35">
        <v>0</v>
      </c>
    </row>
    <row r="34" spans="1:7" ht="15">
      <c r="A34" s="34" t="s">
        <v>82</v>
      </c>
      <c r="B34" s="34" t="s">
        <v>83</v>
      </c>
      <c r="C34" s="35">
        <f>C10+C31+C32+C33</f>
        <v>20233.1459</v>
      </c>
      <c r="D34" s="35">
        <f>D10+D31+D32+D33</f>
        <v>20840.140477000001</v>
      </c>
      <c r="E34" s="27">
        <f>C34/8000</f>
        <v>2.5291432375</v>
      </c>
      <c r="G34" s="27">
        <v>109499.3</v>
      </c>
    </row>
    <row r="35" spans="1:7" ht="24" customHeight="1">
      <c r="A35" s="31"/>
    </row>
    <row r="36" spans="1:7" ht="15.75" hidden="1">
      <c r="A36" s="36" t="s">
        <v>84</v>
      </c>
      <c r="B36" s="37"/>
      <c r="C36" s="38" t="s">
        <v>85</v>
      </c>
      <c r="E36" s="27">
        <v>16.399999999999999</v>
      </c>
      <c r="F36" s="27" t="s">
        <v>86</v>
      </c>
    </row>
    <row r="37" spans="1:7" s="40" customFormat="1" ht="18.75" hidden="1">
      <c r="A37" s="39" t="s">
        <v>87</v>
      </c>
      <c r="B37" s="39"/>
    </row>
    <row r="38" spans="1:7" s="40" customFormat="1" ht="18.75" hidden="1">
      <c r="A38" s="36"/>
      <c r="B38" s="37"/>
      <c r="C38" s="38"/>
    </row>
    <row r="39" spans="1:7" s="40" customFormat="1" ht="18.75" hidden="1">
      <c r="A39" s="41" t="s">
        <v>88</v>
      </c>
      <c r="B39" s="37"/>
      <c r="C39" s="38" t="s">
        <v>24</v>
      </c>
    </row>
    <row r="40" spans="1:7" s="40" customFormat="1" ht="18.75" hidden="1">
      <c r="A40" s="36" t="s">
        <v>89</v>
      </c>
      <c r="B40" s="37"/>
    </row>
    <row r="41" spans="1:7" s="40" customFormat="1" ht="18.75" hidden="1">
      <c r="A41" s="36"/>
      <c r="B41" s="37"/>
      <c r="C41" s="38"/>
    </row>
    <row r="42" spans="1:7" s="40" customFormat="1" ht="18.75" hidden="1">
      <c r="A42" s="36" t="s">
        <v>90</v>
      </c>
      <c r="B42" s="37"/>
      <c r="C42" s="38" t="s">
        <v>91</v>
      </c>
    </row>
    <row r="43" spans="1:7" s="40" customFormat="1" ht="18.75" hidden="1"/>
    <row r="44" spans="1:7" ht="18.75">
      <c r="A44" s="42"/>
      <c r="B44" s="43"/>
      <c r="C44" s="43"/>
      <c r="D44" s="42"/>
    </row>
    <row r="45" spans="1:7" ht="18.75">
      <c r="A45" s="44"/>
      <c r="D45" s="44"/>
    </row>
  </sheetData>
  <mergeCells count="4">
    <mergeCell ref="A3:D3"/>
    <mergeCell ref="A4:D4"/>
    <mergeCell ref="A5:D5"/>
    <mergeCell ref="A37:B37"/>
  </mergeCells>
  <pageMargins left="0.53" right="0.18" top="0.35" bottom="0.17" header="0.5" footer="0.5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20"/>
  <sheetViews>
    <sheetView workbookViewId="0">
      <selection activeCell="H19" sqref="H19"/>
    </sheetView>
  </sheetViews>
  <sheetFormatPr defaultRowHeight="15"/>
  <cols>
    <col min="1" max="1" width="4.140625" customWidth="1"/>
    <col min="2" max="2" width="35.5703125" customWidth="1"/>
    <col min="3" max="3" width="14" customWidth="1"/>
    <col min="4" max="4" width="13.28515625" customWidth="1"/>
    <col min="5" max="5" width="15.140625" customWidth="1"/>
    <col min="6" max="6" width="13.28515625" customWidth="1"/>
  </cols>
  <sheetData>
    <row r="1" spans="1:6">
      <c r="F1" s="1" t="s">
        <v>0</v>
      </c>
    </row>
    <row r="2" spans="1:6">
      <c r="F2" s="1" t="s">
        <v>1</v>
      </c>
    </row>
    <row r="3" spans="1:6">
      <c r="F3" s="1" t="s">
        <v>2</v>
      </c>
    </row>
    <row r="4" spans="1:6">
      <c r="F4" s="1" t="s">
        <v>3</v>
      </c>
    </row>
    <row r="5" spans="1:6">
      <c r="F5" s="1" t="s">
        <v>4</v>
      </c>
    </row>
    <row r="6" spans="1:6">
      <c r="A6" s="2"/>
    </row>
    <row r="7" spans="1:6">
      <c r="A7" s="3" t="s">
        <v>5</v>
      </c>
      <c r="B7" s="3"/>
      <c r="C7" s="3"/>
      <c r="D7" s="3"/>
      <c r="E7" s="3"/>
      <c r="F7" s="3"/>
    </row>
    <row r="8" spans="1:6">
      <c r="A8" s="3" t="s">
        <v>6</v>
      </c>
      <c r="B8" s="3"/>
      <c r="C8" s="3"/>
      <c r="D8" s="3"/>
      <c r="E8" s="3"/>
      <c r="F8" s="3"/>
    </row>
    <row r="9" spans="1:6">
      <c r="A9" s="3" t="s">
        <v>7</v>
      </c>
      <c r="B9" s="3"/>
      <c r="C9" s="3"/>
      <c r="D9" s="3"/>
      <c r="E9" s="3"/>
      <c r="F9" s="3"/>
    </row>
    <row r="10" spans="1:6">
      <c r="A10" s="3" t="s">
        <v>8</v>
      </c>
      <c r="B10" s="3"/>
      <c r="C10" s="3"/>
      <c r="D10" s="3"/>
      <c r="E10" s="3"/>
      <c r="F10" s="3"/>
    </row>
    <row r="11" spans="1:6" ht="15.75" thickBot="1">
      <c r="A11" s="2"/>
    </row>
    <row r="12" spans="1:6" ht="15.75" thickBot="1">
      <c r="A12" s="4" t="s">
        <v>9</v>
      </c>
      <c r="B12" s="4" t="s">
        <v>10</v>
      </c>
      <c r="C12" s="5" t="s">
        <v>11</v>
      </c>
      <c r="D12" s="6"/>
      <c r="E12" s="7"/>
      <c r="F12" s="4" t="s">
        <v>12</v>
      </c>
    </row>
    <row r="13" spans="1:6" ht="75.75" thickBot="1">
      <c r="A13" s="8"/>
      <c r="B13" s="8"/>
      <c r="C13" s="9" t="s">
        <v>13</v>
      </c>
      <c r="D13" s="9" t="s">
        <v>14</v>
      </c>
      <c r="E13" s="9" t="s">
        <v>15</v>
      </c>
      <c r="F13" s="8"/>
    </row>
    <row r="14" spans="1:6" s="12" customFormat="1" ht="12.75" thickBot="1">
      <c r="A14" s="10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</row>
    <row r="15" spans="1:6" ht="45.75" thickBot="1">
      <c r="A15" s="13" t="s">
        <v>16</v>
      </c>
      <c r="B15" s="14" t="s">
        <v>17</v>
      </c>
      <c r="C15" s="15">
        <f>'3_Расходы'!C10</f>
        <v>0.79245938598246268</v>
      </c>
      <c r="D15" s="9">
        <v>20</v>
      </c>
      <c r="E15" s="16">
        <v>20575</v>
      </c>
      <c r="F15" s="17">
        <f>C15*E15/D15</f>
        <v>815.24259332945849</v>
      </c>
    </row>
    <row r="16" spans="1:6" ht="30.75" thickBot="1">
      <c r="A16" s="13" t="s">
        <v>18</v>
      </c>
      <c r="B16" s="14" t="s">
        <v>19</v>
      </c>
      <c r="C16" s="15">
        <f>'3_Расходы'!C29</f>
        <v>0.54513402837933755</v>
      </c>
      <c r="D16" s="9">
        <f t="shared" ref="D16:E18" si="0">D15</f>
        <v>20</v>
      </c>
      <c r="E16" s="16">
        <f t="shared" si="0"/>
        <v>20575</v>
      </c>
      <c r="F16" s="17">
        <f t="shared" ref="F16:F17" si="1">C16*E16/D16</f>
        <v>560.80663169524348</v>
      </c>
    </row>
    <row r="17" spans="1:6" ht="60.75" thickBot="1">
      <c r="A17" s="13" t="s">
        <v>20</v>
      </c>
      <c r="B17" s="14" t="s">
        <v>21</v>
      </c>
      <c r="C17" s="15">
        <f>'3_Расходы'!C39</f>
        <v>7.1266579110616828</v>
      </c>
      <c r="D17" s="9">
        <f t="shared" si="0"/>
        <v>20</v>
      </c>
      <c r="E17" s="16">
        <f t="shared" si="0"/>
        <v>20575</v>
      </c>
      <c r="F17" s="17">
        <f t="shared" si="1"/>
        <v>7331.549326004706</v>
      </c>
    </row>
    <row r="18" spans="1:6" s="24" customFormat="1" ht="15.75" thickBot="1">
      <c r="A18" s="18"/>
      <c r="B18" s="19" t="s">
        <v>22</v>
      </c>
      <c r="C18" s="20">
        <f>C15+C16+C17</f>
        <v>8.4642513254234828</v>
      </c>
      <c r="D18" s="21">
        <f t="shared" si="0"/>
        <v>20</v>
      </c>
      <c r="E18" s="22">
        <f t="shared" si="0"/>
        <v>20575</v>
      </c>
      <c r="F18" s="23">
        <f>F15+F16+F17</f>
        <v>8707.5985510294086</v>
      </c>
    </row>
    <row r="19" spans="1:6" ht="43.5" customHeight="1">
      <c r="A19" s="2"/>
    </row>
    <row r="20" spans="1:6" hidden="1">
      <c r="B20" s="25" t="s">
        <v>23</v>
      </c>
      <c r="C20" s="24"/>
      <c r="D20" s="24"/>
      <c r="E20" s="26" t="s">
        <v>24</v>
      </c>
    </row>
  </sheetData>
  <mergeCells count="8">
    <mergeCell ref="A7:F7"/>
    <mergeCell ref="A8:F8"/>
    <mergeCell ref="A9:F9"/>
    <mergeCell ref="A10:F10"/>
    <mergeCell ref="A12:A13"/>
    <mergeCell ref="B12:B13"/>
    <mergeCell ref="C12:E12"/>
    <mergeCell ref="F12:F13"/>
  </mergeCells>
  <pageMargins left="0.7" right="0.24" top="0.75" bottom="0.75" header="0.3" footer="0.3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Q53"/>
  <sheetViews>
    <sheetView view="pageBreakPreview" topLeftCell="A19" zoomScaleNormal="100" workbookViewId="0">
      <selection activeCell="K55" sqref="K55"/>
    </sheetView>
  </sheetViews>
  <sheetFormatPr defaultRowHeight="12.75"/>
  <cols>
    <col min="1" max="1" width="5.7109375" style="27" customWidth="1"/>
    <col min="2" max="2" width="55.28515625" style="27" customWidth="1"/>
    <col min="3" max="3" width="16.140625" style="27" customWidth="1"/>
    <col min="4" max="4" width="16.42578125" style="27" customWidth="1"/>
    <col min="5" max="5" width="13.42578125" style="45" hidden="1" customWidth="1"/>
    <col min="6" max="6" width="11" style="27" hidden="1" customWidth="1"/>
    <col min="7" max="7" width="0" style="27" hidden="1" customWidth="1"/>
    <col min="8" max="8" width="11.28515625" style="45" hidden="1" customWidth="1"/>
    <col min="9" max="14" width="0" style="27" hidden="1" customWidth="1"/>
    <col min="15" max="15" width="10.140625" style="27" hidden="1" customWidth="1"/>
    <col min="16" max="33" width="0" style="27" hidden="1" customWidth="1"/>
    <col min="34" max="256" width="9.140625" style="27"/>
    <col min="257" max="257" width="5.7109375" style="27" customWidth="1"/>
    <col min="258" max="258" width="55.28515625" style="27" customWidth="1"/>
    <col min="259" max="259" width="16.140625" style="27" customWidth="1"/>
    <col min="260" max="260" width="16.42578125" style="27" customWidth="1"/>
    <col min="261" max="261" width="13.42578125" style="27" customWidth="1"/>
    <col min="262" max="262" width="11" style="27" customWidth="1"/>
    <col min="263" max="263" width="9.140625" style="27"/>
    <col min="264" max="264" width="11.28515625" style="27" customWidth="1"/>
    <col min="265" max="270" width="9.140625" style="27"/>
    <col min="271" max="271" width="10.140625" style="27" bestFit="1" customWidth="1"/>
    <col min="272" max="512" width="9.140625" style="27"/>
    <col min="513" max="513" width="5.7109375" style="27" customWidth="1"/>
    <col min="514" max="514" width="55.28515625" style="27" customWidth="1"/>
    <col min="515" max="515" width="16.140625" style="27" customWidth="1"/>
    <col min="516" max="516" width="16.42578125" style="27" customWidth="1"/>
    <col min="517" max="517" width="13.42578125" style="27" customWidth="1"/>
    <col min="518" max="518" width="11" style="27" customWidth="1"/>
    <col min="519" max="519" width="9.140625" style="27"/>
    <col min="520" max="520" width="11.28515625" style="27" customWidth="1"/>
    <col min="521" max="526" width="9.140625" style="27"/>
    <col min="527" max="527" width="10.140625" style="27" bestFit="1" customWidth="1"/>
    <col min="528" max="768" width="9.140625" style="27"/>
    <col min="769" max="769" width="5.7109375" style="27" customWidth="1"/>
    <col min="770" max="770" width="55.28515625" style="27" customWidth="1"/>
    <col min="771" max="771" width="16.140625" style="27" customWidth="1"/>
    <col min="772" max="772" width="16.42578125" style="27" customWidth="1"/>
    <col min="773" max="773" width="13.42578125" style="27" customWidth="1"/>
    <col min="774" max="774" width="11" style="27" customWidth="1"/>
    <col min="775" max="775" width="9.140625" style="27"/>
    <col min="776" max="776" width="11.28515625" style="27" customWidth="1"/>
    <col min="777" max="782" width="9.140625" style="27"/>
    <col min="783" max="783" width="10.140625" style="27" bestFit="1" customWidth="1"/>
    <col min="784" max="1024" width="9.140625" style="27"/>
    <col min="1025" max="1025" width="5.7109375" style="27" customWidth="1"/>
    <col min="1026" max="1026" width="55.28515625" style="27" customWidth="1"/>
    <col min="1027" max="1027" width="16.140625" style="27" customWidth="1"/>
    <col min="1028" max="1028" width="16.42578125" style="27" customWidth="1"/>
    <col min="1029" max="1029" width="13.42578125" style="27" customWidth="1"/>
    <col min="1030" max="1030" width="11" style="27" customWidth="1"/>
    <col min="1031" max="1031" width="9.140625" style="27"/>
    <col min="1032" max="1032" width="11.28515625" style="27" customWidth="1"/>
    <col min="1033" max="1038" width="9.140625" style="27"/>
    <col min="1039" max="1039" width="10.140625" style="27" bestFit="1" customWidth="1"/>
    <col min="1040" max="1280" width="9.140625" style="27"/>
    <col min="1281" max="1281" width="5.7109375" style="27" customWidth="1"/>
    <col min="1282" max="1282" width="55.28515625" style="27" customWidth="1"/>
    <col min="1283" max="1283" width="16.140625" style="27" customWidth="1"/>
    <col min="1284" max="1284" width="16.42578125" style="27" customWidth="1"/>
    <col min="1285" max="1285" width="13.42578125" style="27" customWidth="1"/>
    <col min="1286" max="1286" width="11" style="27" customWidth="1"/>
    <col min="1287" max="1287" width="9.140625" style="27"/>
    <col min="1288" max="1288" width="11.28515625" style="27" customWidth="1"/>
    <col min="1289" max="1294" width="9.140625" style="27"/>
    <col min="1295" max="1295" width="10.140625" style="27" bestFit="1" customWidth="1"/>
    <col min="1296" max="1536" width="9.140625" style="27"/>
    <col min="1537" max="1537" width="5.7109375" style="27" customWidth="1"/>
    <col min="1538" max="1538" width="55.28515625" style="27" customWidth="1"/>
    <col min="1539" max="1539" width="16.140625" style="27" customWidth="1"/>
    <col min="1540" max="1540" width="16.42578125" style="27" customWidth="1"/>
    <col min="1541" max="1541" width="13.42578125" style="27" customWidth="1"/>
    <col min="1542" max="1542" width="11" style="27" customWidth="1"/>
    <col min="1543" max="1543" width="9.140625" style="27"/>
    <col min="1544" max="1544" width="11.28515625" style="27" customWidth="1"/>
    <col min="1545" max="1550" width="9.140625" style="27"/>
    <col min="1551" max="1551" width="10.140625" style="27" bestFit="1" customWidth="1"/>
    <col min="1552" max="1792" width="9.140625" style="27"/>
    <col min="1793" max="1793" width="5.7109375" style="27" customWidth="1"/>
    <col min="1794" max="1794" width="55.28515625" style="27" customWidth="1"/>
    <col min="1795" max="1795" width="16.140625" style="27" customWidth="1"/>
    <col min="1796" max="1796" width="16.42578125" style="27" customWidth="1"/>
    <col min="1797" max="1797" width="13.42578125" style="27" customWidth="1"/>
    <col min="1798" max="1798" width="11" style="27" customWidth="1"/>
    <col min="1799" max="1799" width="9.140625" style="27"/>
    <col min="1800" max="1800" width="11.28515625" style="27" customWidth="1"/>
    <col min="1801" max="1806" width="9.140625" style="27"/>
    <col min="1807" max="1807" width="10.140625" style="27" bestFit="1" customWidth="1"/>
    <col min="1808" max="2048" width="9.140625" style="27"/>
    <col min="2049" max="2049" width="5.7109375" style="27" customWidth="1"/>
    <col min="2050" max="2050" width="55.28515625" style="27" customWidth="1"/>
    <col min="2051" max="2051" width="16.140625" style="27" customWidth="1"/>
    <col min="2052" max="2052" width="16.42578125" style="27" customWidth="1"/>
    <col min="2053" max="2053" width="13.42578125" style="27" customWidth="1"/>
    <col min="2054" max="2054" width="11" style="27" customWidth="1"/>
    <col min="2055" max="2055" width="9.140625" style="27"/>
    <col min="2056" max="2056" width="11.28515625" style="27" customWidth="1"/>
    <col min="2057" max="2062" width="9.140625" style="27"/>
    <col min="2063" max="2063" width="10.140625" style="27" bestFit="1" customWidth="1"/>
    <col min="2064" max="2304" width="9.140625" style="27"/>
    <col min="2305" max="2305" width="5.7109375" style="27" customWidth="1"/>
    <col min="2306" max="2306" width="55.28515625" style="27" customWidth="1"/>
    <col min="2307" max="2307" width="16.140625" style="27" customWidth="1"/>
    <col min="2308" max="2308" width="16.42578125" style="27" customWidth="1"/>
    <col min="2309" max="2309" width="13.42578125" style="27" customWidth="1"/>
    <col min="2310" max="2310" width="11" style="27" customWidth="1"/>
    <col min="2311" max="2311" width="9.140625" style="27"/>
    <col min="2312" max="2312" width="11.28515625" style="27" customWidth="1"/>
    <col min="2313" max="2318" width="9.140625" style="27"/>
    <col min="2319" max="2319" width="10.140625" style="27" bestFit="1" customWidth="1"/>
    <col min="2320" max="2560" width="9.140625" style="27"/>
    <col min="2561" max="2561" width="5.7109375" style="27" customWidth="1"/>
    <col min="2562" max="2562" width="55.28515625" style="27" customWidth="1"/>
    <col min="2563" max="2563" width="16.140625" style="27" customWidth="1"/>
    <col min="2564" max="2564" width="16.42578125" style="27" customWidth="1"/>
    <col min="2565" max="2565" width="13.42578125" style="27" customWidth="1"/>
    <col min="2566" max="2566" width="11" style="27" customWidth="1"/>
    <col min="2567" max="2567" width="9.140625" style="27"/>
    <col min="2568" max="2568" width="11.28515625" style="27" customWidth="1"/>
    <col min="2569" max="2574" width="9.140625" style="27"/>
    <col min="2575" max="2575" width="10.140625" style="27" bestFit="1" customWidth="1"/>
    <col min="2576" max="2816" width="9.140625" style="27"/>
    <col min="2817" max="2817" width="5.7109375" style="27" customWidth="1"/>
    <col min="2818" max="2818" width="55.28515625" style="27" customWidth="1"/>
    <col min="2819" max="2819" width="16.140625" style="27" customWidth="1"/>
    <col min="2820" max="2820" width="16.42578125" style="27" customWidth="1"/>
    <col min="2821" max="2821" width="13.42578125" style="27" customWidth="1"/>
    <col min="2822" max="2822" width="11" style="27" customWidth="1"/>
    <col min="2823" max="2823" width="9.140625" style="27"/>
    <col min="2824" max="2824" width="11.28515625" style="27" customWidth="1"/>
    <col min="2825" max="2830" width="9.140625" style="27"/>
    <col min="2831" max="2831" width="10.140625" style="27" bestFit="1" customWidth="1"/>
    <col min="2832" max="3072" width="9.140625" style="27"/>
    <col min="3073" max="3073" width="5.7109375" style="27" customWidth="1"/>
    <col min="3074" max="3074" width="55.28515625" style="27" customWidth="1"/>
    <col min="3075" max="3075" width="16.140625" style="27" customWidth="1"/>
    <col min="3076" max="3076" width="16.42578125" style="27" customWidth="1"/>
    <col min="3077" max="3077" width="13.42578125" style="27" customWidth="1"/>
    <col min="3078" max="3078" width="11" style="27" customWidth="1"/>
    <col min="3079" max="3079" width="9.140625" style="27"/>
    <col min="3080" max="3080" width="11.28515625" style="27" customWidth="1"/>
    <col min="3081" max="3086" width="9.140625" style="27"/>
    <col min="3087" max="3087" width="10.140625" style="27" bestFit="1" customWidth="1"/>
    <col min="3088" max="3328" width="9.140625" style="27"/>
    <col min="3329" max="3329" width="5.7109375" style="27" customWidth="1"/>
    <col min="3330" max="3330" width="55.28515625" style="27" customWidth="1"/>
    <col min="3331" max="3331" width="16.140625" style="27" customWidth="1"/>
    <col min="3332" max="3332" width="16.42578125" style="27" customWidth="1"/>
    <col min="3333" max="3333" width="13.42578125" style="27" customWidth="1"/>
    <col min="3334" max="3334" width="11" style="27" customWidth="1"/>
    <col min="3335" max="3335" width="9.140625" style="27"/>
    <col min="3336" max="3336" width="11.28515625" style="27" customWidth="1"/>
    <col min="3337" max="3342" width="9.140625" style="27"/>
    <col min="3343" max="3343" width="10.140625" style="27" bestFit="1" customWidth="1"/>
    <col min="3344" max="3584" width="9.140625" style="27"/>
    <col min="3585" max="3585" width="5.7109375" style="27" customWidth="1"/>
    <col min="3586" max="3586" width="55.28515625" style="27" customWidth="1"/>
    <col min="3587" max="3587" width="16.140625" style="27" customWidth="1"/>
    <col min="3588" max="3588" width="16.42578125" style="27" customWidth="1"/>
    <col min="3589" max="3589" width="13.42578125" style="27" customWidth="1"/>
    <col min="3590" max="3590" width="11" style="27" customWidth="1"/>
    <col min="3591" max="3591" width="9.140625" style="27"/>
    <col min="3592" max="3592" width="11.28515625" style="27" customWidth="1"/>
    <col min="3593" max="3598" width="9.140625" style="27"/>
    <col min="3599" max="3599" width="10.140625" style="27" bestFit="1" customWidth="1"/>
    <col min="3600" max="3840" width="9.140625" style="27"/>
    <col min="3841" max="3841" width="5.7109375" style="27" customWidth="1"/>
    <col min="3842" max="3842" width="55.28515625" style="27" customWidth="1"/>
    <col min="3843" max="3843" width="16.140625" style="27" customWidth="1"/>
    <col min="3844" max="3844" width="16.42578125" style="27" customWidth="1"/>
    <col min="3845" max="3845" width="13.42578125" style="27" customWidth="1"/>
    <col min="3846" max="3846" width="11" style="27" customWidth="1"/>
    <col min="3847" max="3847" width="9.140625" style="27"/>
    <col min="3848" max="3848" width="11.28515625" style="27" customWidth="1"/>
    <col min="3849" max="3854" width="9.140625" style="27"/>
    <col min="3855" max="3855" width="10.140625" style="27" bestFit="1" customWidth="1"/>
    <col min="3856" max="4096" width="9.140625" style="27"/>
    <col min="4097" max="4097" width="5.7109375" style="27" customWidth="1"/>
    <col min="4098" max="4098" width="55.28515625" style="27" customWidth="1"/>
    <col min="4099" max="4099" width="16.140625" style="27" customWidth="1"/>
    <col min="4100" max="4100" width="16.42578125" style="27" customWidth="1"/>
    <col min="4101" max="4101" width="13.42578125" style="27" customWidth="1"/>
    <col min="4102" max="4102" width="11" style="27" customWidth="1"/>
    <col min="4103" max="4103" width="9.140625" style="27"/>
    <col min="4104" max="4104" width="11.28515625" style="27" customWidth="1"/>
    <col min="4105" max="4110" width="9.140625" style="27"/>
    <col min="4111" max="4111" width="10.140625" style="27" bestFit="1" customWidth="1"/>
    <col min="4112" max="4352" width="9.140625" style="27"/>
    <col min="4353" max="4353" width="5.7109375" style="27" customWidth="1"/>
    <col min="4354" max="4354" width="55.28515625" style="27" customWidth="1"/>
    <col min="4355" max="4355" width="16.140625" style="27" customWidth="1"/>
    <col min="4356" max="4356" width="16.42578125" style="27" customWidth="1"/>
    <col min="4357" max="4357" width="13.42578125" style="27" customWidth="1"/>
    <col min="4358" max="4358" width="11" style="27" customWidth="1"/>
    <col min="4359" max="4359" width="9.140625" style="27"/>
    <col min="4360" max="4360" width="11.28515625" style="27" customWidth="1"/>
    <col min="4361" max="4366" width="9.140625" style="27"/>
    <col min="4367" max="4367" width="10.140625" style="27" bestFit="1" customWidth="1"/>
    <col min="4368" max="4608" width="9.140625" style="27"/>
    <col min="4609" max="4609" width="5.7109375" style="27" customWidth="1"/>
    <col min="4610" max="4610" width="55.28515625" style="27" customWidth="1"/>
    <col min="4611" max="4611" width="16.140625" style="27" customWidth="1"/>
    <col min="4612" max="4612" width="16.42578125" style="27" customWidth="1"/>
    <col min="4613" max="4613" width="13.42578125" style="27" customWidth="1"/>
    <col min="4614" max="4614" width="11" style="27" customWidth="1"/>
    <col min="4615" max="4615" width="9.140625" style="27"/>
    <col min="4616" max="4616" width="11.28515625" style="27" customWidth="1"/>
    <col min="4617" max="4622" width="9.140625" style="27"/>
    <col min="4623" max="4623" width="10.140625" style="27" bestFit="1" customWidth="1"/>
    <col min="4624" max="4864" width="9.140625" style="27"/>
    <col min="4865" max="4865" width="5.7109375" style="27" customWidth="1"/>
    <col min="4866" max="4866" width="55.28515625" style="27" customWidth="1"/>
    <col min="4867" max="4867" width="16.140625" style="27" customWidth="1"/>
    <col min="4868" max="4868" width="16.42578125" style="27" customWidth="1"/>
    <col min="4869" max="4869" width="13.42578125" style="27" customWidth="1"/>
    <col min="4870" max="4870" width="11" style="27" customWidth="1"/>
    <col min="4871" max="4871" width="9.140625" style="27"/>
    <col min="4872" max="4872" width="11.28515625" style="27" customWidth="1"/>
    <col min="4873" max="4878" width="9.140625" style="27"/>
    <col min="4879" max="4879" width="10.140625" style="27" bestFit="1" customWidth="1"/>
    <col min="4880" max="5120" width="9.140625" style="27"/>
    <col min="5121" max="5121" width="5.7109375" style="27" customWidth="1"/>
    <col min="5122" max="5122" width="55.28515625" style="27" customWidth="1"/>
    <col min="5123" max="5123" width="16.140625" style="27" customWidth="1"/>
    <col min="5124" max="5124" width="16.42578125" style="27" customWidth="1"/>
    <col min="5125" max="5125" width="13.42578125" style="27" customWidth="1"/>
    <col min="5126" max="5126" width="11" style="27" customWidth="1"/>
    <col min="5127" max="5127" width="9.140625" style="27"/>
    <col min="5128" max="5128" width="11.28515625" style="27" customWidth="1"/>
    <col min="5129" max="5134" width="9.140625" style="27"/>
    <col min="5135" max="5135" width="10.140625" style="27" bestFit="1" customWidth="1"/>
    <col min="5136" max="5376" width="9.140625" style="27"/>
    <col min="5377" max="5377" width="5.7109375" style="27" customWidth="1"/>
    <col min="5378" max="5378" width="55.28515625" style="27" customWidth="1"/>
    <col min="5379" max="5379" width="16.140625" style="27" customWidth="1"/>
    <col min="5380" max="5380" width="16.42578125" style="27" customWidth="1"/>
    <col min="5381" max="5381" width="13.42578125" style="27" customWidth="1"/>
    <col min="5382" max="5382" width="11" style="27" customWidth="1"/>
    <col min="5383" max="5383" width="9.140625" style="27"/>
    <col min="5384" max="5384" width="11.28515625" style="27" customWidth="1"/>
    <col min="5385" max="5390" width="9.140625" style="27"/>
    <col min="5391" max="5391" width="10.140625" style="27" bestFit="1" customWidth="1"/>
    <col min="5392" max="5632" width="9.140625" style="27"/>
    <col min="5633" max="5633" width="5.7109375" style="27" customWidth="1"/>
    <col min="5634" max="5634" width="55.28515625" style="27" customWidth="1"/>
    <col min="5635" max="5635" width="16.140625" style="27" customWidth="1"/>
    <col min="5636" max="5636" width="16.42578125" style="27" customWidth="1"/>
    <col min="5637" max="5637" width="13.42578125" style="27" customWidth="1"/>
    <col min="5638" max="5638" width="11" style="27" customWidth="1"/>
    <col min="5639" max="5639" width="9.140625" style="27"/>
    <col min="5640" max="5640" width="11.28515625" style="27" customWidth="1"/>
    <col min="5641" max="5646" width="9.140625" style="27"/>
    <col min="5647" max="5647" width="10.140625" style="27" bestFit="1" customWidth="1"/>
    <col min="5648" max="5888" width="9.140625" style="27"/>
    <col min="5889" max="5889" width="5.7109375" style="27" customWidth="1"/>
    <col min="5890" max="5890" width="55.28515625" style="27" customWidth="1"/>
    <col min="5891" max="5891" width="16.140625" style="27" customWidth="1"/>
    <col min="5892" max="5892" width="16.42578125" style="27" customWidth="1"/>
    <col min="5893" max="5893" width="13.42578125" style="27" customWidth="1"/>
    <col min="5894" max="5894" width="11" style="27" customWidth="1"/>
    <col min="5895" max="5895" width="9.140625" style="27"/>
    <col min="5896" max="5896" width="11.28515625" style="27" customWidth="1"/>
    <col min="5897" max="5902" width="9.140625" style="27"/>
    <col min="5903" max="5903" width="10.140625" style="27" bestFit="1" customWidth="1"/>
    <col min="5904" max="6144" width="9.140625" style="27"/>
    <col min="6145" max="6145" width="5.7109375" style="27" customWidth="1"/>
    <col min="6146" max="6146" width="55.28515625" style="27" customWidth="1"/>
    <col min="6147" max="6147" width="16.140625" style="27" customWidth="1"/>
    <col min="6148" max="6148" width="16.42578125" style="27" customWidth="1"/>
    <col min="6149" max="6149" width="13.42578125" style="27" customWidth="1"/>
    <col min="6150" max="6150" width="11" style="27" customWidth="1"/>
    <col min="6151" max="6151" width="9.140625" style="27"/>
    <col min="6152" max="6152" width="11.28515625" style="27" customWidth="1"/>
    <col min="6153" max="6158" width="9.140625" style="27"/>
    <col min="6159" max="6159" width="10.140625" style="27" bestFit="1" customWidth="1"/>
    <col min="6160" max="6400" width="9.140625" style="27"/>
    <col min="6401" max="6401" width="5.7109375" style="27" customWidth="1"/>
    <col min="6402" max="6402" width="55.28515625" style="27" customWidth="1"/>
    <col min="6403" max="6403" width="16.140625" style="27" customWidth="1"/>
    <col min="6404" max="6404" width="16.42578125" style="27" customWidth="1"/>
    <col min="6405" max="6405" width="13.42578125" style="27" customWidth="1"/>
    <col min="6406" max="6406" width="11" style="27" customWidth="1"/>
    <col min="6407" max="6407" width="9.140625" style="27"/>
    <col min="6408" max="6408" width="11.28515625" style="27" customWidth="1"/>
    <col min="6409" max="6414" width="9.140625" style="27"/>
    <col min="6415" max="6415" width="10.140625" style="27" bestFit="1" customWidth="1"/>
    <col min="6416" max="6656" width="9.140625" style="27"/>
    <col min="6657" max="6657" width="5.7109375" style="27" customWidth="1"/>
    <col min="6658" max="6658" width="55.28515625" style="27" customWidth="1"/>
    <col min="6659" max="6659" width="16.140625" style="27" customWidth="1"/>
    <col min="6660" max="6660" width="16.42578125" style="27" customWidth="1"/>
    <col min="6661" max="6661" width="13.42578125" style="27" customWidth="1"/>
    <col min="6662" max="6662" width="11" style="27" customWidth="1"/>
    <col min="6663" max="6663" width="9.140625" style="27"/>
    <col min="6664" max="6664" width="11.28515625" style="27" customWidth="1"/>
    <col min="6665" max="6670" width="9.140625" style="27"/>
    <col min="6671" max="6671" width="10.140625" style="27" bestFit="1" customWidth="1"/>
    <col min="6672" max="6912" width="9.140625" style="27"/>
    <col min="6913" max="6913" width="5.7109375" style="27" customWidth="1"/>
    <col min="6914" max="6914" width="55.28515625" style="27" customWidth="1"/>
    <col min="6915" max="6915" width="16.140625" style="27" customWidth="1"/>
    <col min="6916" max="6916" width="16.42578125" style="27" customWidth="1"/>
    <col min="6917" max="6917" width="13.42578125" style="27" customWidth="1"/>
    <col min="6918" max="6918" width="11" style="27" customWidth="1"/>
    <col min="6919" max="6919" width="9.140625" style="27"/>
    <col min="6920" max="6920" width="11.28515625" style="27" customWidth="1"/>
    <col min="6921" max="6926" width="9.140625" style="27"/>
    <col min="6927" max="6927" width="10.140625" style="27" bestFit="1" customWidth="1"/>
    <col min="6928" max="7168" width="9.140625" style="27"/>
    <col min="7169" max="7169" width="5.7109375" style="27" customWidth="1"/>
    <col min="7170" max="7170" width="55.28515625" style="27" customWidth="1"/>
    <col min="7171" max="7171" width="16.140625" style="27" customWidth="1"/>
    <col min="7172" max="7172" width="16.42578125" style="27" customWidth="1"/>
    <col min="7173" max="7173" width="13.42578125" style="27" customWidth="1"/>
    <col min="7174" max="7174" width="11" style="27" customWidth="1"/>
    <col min="7175" max="7175" width="9.140625" style="27"/>
    <col min="7176" max="7176" width="11.28515625" style="27" customWidth="1"/>
    <col min="7177" max="7182" width="9.140625" style="27"/>
    <col min="7183" max="7183" width="10.140625" style="27" bestFit="1" customWidth="1"/>
    <col min="7184" max="7424" width="9.140625" style="27"/>
    <col min="7425" max="7425" width="5.7109375" style="27" customWidth="1"/>
    <col min="7426" max="7426" width="55.28515625" style="27" customWidth="1"/>
    <col min="7427" max="7427" width="16.140625" style="27" customWidth="1"/>
    <col min="7428" max="7428" width="16.42578125" style="27" customWidth="1"/>
    <col min="7429" max="7429" width="13.42578125" style="27" customWidth="1"/>
    <col min="7430" max="7430" width="11" style="27" customWidth="1"/>
    <col min="7431" max="7431" width="9.140625" style="27"/>
    <col min="7432" max="7432" width="11.28515625" style="27" customWidth="1"/>
    <col min="7433" max="7438" width="9.140625" style="27"/>
    <col min="7439" max="7439" width="10.140625" style="27" bestFit="1" customWidth="1"/>
    <col min="7440" max="7680" width="9.140625" style="27"/>
    <col min="7681" max="7681" width="5.7109375" style="27" customWidth="1"/>
    <col min="7682" max="7682" width="55.28515625" style="27" customWidth="1"/>
    <col min="7683" max="7683" width="16.140625" style="27" customWidth="1"/>
    <col min="7684" max="7684" width="16.42578125" style="27" customWidth="1"/>
    <col min="7685" max="7685" width="13.42578125" style="27" customWidth="1"/>
    <col min="7686" max="7686" width="11" style="27" customWidth="1"/>
    <col min="7687" max="7687" width="9.140625" style="27"/>
    <col min="7688" max="7688" width="11.28515625" style="27" customWidth="1"/>
    <col min="7689" max="7694" width="9.140625" style="27"/>
    <col min="7695" max="7695" width="10.140625" style="27" bestFit="1" customWidth="1"/>
    <col min="7696" max="7936" width="9.140625" style="27"/>
    <col min="7937" max="7937" width="5.7109375" style="27" customWidth="1"/>
    <col min="7938" max="7938" width="55.28515625" style="27" customWidth="1"/>
    <col min="7939" max="7939" width="16.140625" style="27" customWidth="1"/>
    <col min="7940" max="7940" width="16.42578125" style="27" customWidth="1"/>
    <col min="7941" max="7941" width="13.42578125" style="27" customWidth="1"/>
    <col min="7942" max="7942" width="11" style="27" customWidth="1"/>
    <col min="7943" max="7943" width="9.140625" style="27"/>
    <col min="7944" max="7944" width="11.28515625" style="27" customWidth="1"/>
    <col min="7945" max="7950" width="9.140625" style="27"/>
    <col min="7951" max="7951" width="10.140625" style="27" bestFit="1" customWidth="1"/>
    <col min="7952" max="8192" width="9.140625" style="27"/>
    <col min="8193" max="8193" width="5.7109375" style="27" customWidth="1"/>
    <col min="8194" max="8194" width="55.28515625" style="27" customWidth="1"/>
    <col min="8195" max="8195" width="16.140625" style="27" customWidth="1"/>
    <col min="8196" max="8196" width="16.42578125" style="27" customWidth="1"/>
    <col min="8197" max="8197" width="13.42578125" style="27" customWidth="1"/>
    <col min="8198" max="8198" width="11" style="27" customWidth="1"/>
    <col min="8199" max="8199" width="9.140625" style="27"/>
    <col min="8200" max="8200" width="11.28515625" style="27" customWidth="1"/>
    <col min="8201" max="8206" width="9.140625" style="27"/>
    <col min="8207" max="8207" width="10.140625" style="27" bestFit="1" customWidth="1"/>
    <col min="8208" max="8448" width="9.140625" style="27"/>
    <col min="8449" max="8449" width="5.7109375" style="27" customWidth="1"/>
    <col min="8450" max="8450" width="55.28515625" style="27" customWidth="1"/>
    <col min="8451" max="8451" width="16.140625" style="27" customWidth="1"/>
    <col min="8452" max="8452" width="16.42578125" style="27" customWidth="1"/>
    <col min="8453" max="8453" width="13.42578125" style="27" customWidth="1"/>
    <col min="8454" max="8454" width="11" style="27" customWidth="1"/>
    <col min="8455" max="8455" width="9.140625" style="27"/>
    <col min="8456" max="8456" width="11.28515625" style="27" customWidth="1"/>
    <col min="8457" max="8462" width="9.140625" style="27"/>
    <col min="8463" max="8463" width="10.140625" style="27" bestFit="1" customWidth="1"/>
    <col min="8464" max="8704" width="9.140625" style="27"/>
    <col min="8705" max="8705" width="5.7109375" style="27" customWidth="1"/>
    <col min="8706" max="8706" width="55.28515625" style="27" customWidth="1"/>
    <col min="8707" max="8707" width="16.140625" style="27" customWidth="1"/>
    <col min="8708" max="8708" width="16.42578125" style="27" customWidth="1"/>
    <col min="8709" max="8709" width="13.42578125" style="27" customWidth="1"/>
    <col min="8710" max="8710" width="11" style="27" customWidth="1"/>
    <col min="8711" max="8711" width="9.140625" style="27"/>
    <col min="8712" max="8712" width="11.28515625" style="27" customWidth="1"/>
    <col min="8713" max="8718" width="9.140625" style="27"/>
    <col min="8719" max="8719" width="10.140625" style="27" bestFit="1" customWidth="1"/>
    <col min="8720" max="8960" width="9.140625" style="27"/>
    <col min="8961" max="8961" width="5.7109375" style="27" customWidth="1"/>
    <col min="8962" max="8962" width="55.28515625" style="27" customWidth="1"/>
    <col min="8963" max="8963" width="16.140625" style="27" customWidth="1"/>
    <col min="8964" max="8964" width="16.42578125" style="27" customWidth="1"/>
    <col min="8965" max="8965" width="13.42578125" style="27" customWidth="1"/>
    <col min="8966" max="8966" width="11" style="27" customWidth="1"/>
    <col min="8967" max="8967" width="9.140625" style="27"/>
    <col min="8968" max="8968" width="11.28515625" style="27" customWidth="1"/>
    <col min="8969" max="8974" width="9.140625" style="27"/>
    <col min="8975" max="8975" width="10.140625" style="27" bestFit="1" customWidth="1"/>
    <col min="8976" max="9216" width="9.140625" style="27"/>
    <col min="9217" max="9217" width="5.7109375" style="27" customWidth="1"/>
    <col min="9218" max="9218" width="55.28515625" style="27" customWidth="1"/>
    <col min="9219" max="9219" width="16.140625" style="27" customWidth="1"/>
    <col min="9220" max="9220" width="16.42578125" style="27" customWidth="1"/>
    <col min="9221" max="9221" width="13.42578125" style="27" customWidth="1"/>
    <col min="9222" max="9222" width="11" style="27" customWidth="1"/>
    <col min="9223" max="9223" width="9.140625" style="27"/>
    <col min="9224" max="9224" width="11.28515625" style="27" customWidth="1"/>
    <col min="9225" max="9230" width="9.140625" style="27"/>
    <col min="9231" max="9231" width="10.140625" style="27" bestFit="1" customWidth="1"/>
    <col min="9232" max="9472" width="9.140625" style="27"/>
    <col min="9473" max="9473" width="5.7109375" style="27" customWidth="1"/>
    <col min="9474" max="9474" width="55.28515625" style="27" customWidth="1"/>
    <col min="9475" max="9475" width="16.140625" style="27" customWidth="1"/>
    <col min="9476" max="9476" width="16.42578125" style="27" customWidth="1"/>
    <col min="9477" max="9477" width="13.42578125" style="27" customWidth="1"/>
    <col min="9478" max="9478" width="11" style="27" customWidth="1"/>
    <col min="9479" max="9479" width="9.140625" style="27"/>
    <col min="9480" max="9480" width="11.28515625" style="27" customWidth="1"/>
    <col min="9481" max="9486" width="9.140625" style="27"/>
    <col min="9487" max="9487" width="10.140625" style="27" bestFit="1" customWidth="1"/>
    <col min="9488" max="9728" width="9.140625" style="27"/>
    <col min="9729" max="9729" width="5.7109375" style="27" customWidth="1"/>
    <col min="9730" max="9730" width="55.28515625" style="27" customWidth="1"/>
    <col min="9731" max="9731" width="16.140625" style="27" customWidth="1"/>
    <col min="9732" max="9732" width="16.42578125" style="27" customWidth="1"/>
    <col min="9733" max="9733" width="13.42578125" style="27" customWidth="1"/>
    <col min="9734" max="9734" width="11" style="27" customWidth="1"/>
    <col min="9735" max="9735" width="9.140625" style="27"/>
    <col min="9736" max="9736" width="11.28515625" style="27" customWidth="1"/>
    <col min="9737" max="9742" width="9.140625" style="27"/>
    <col min="9743" max="9743" width="10.140625" style="27" bestFit="1" customWidth="1"/>
    <col min="9744" max="9984" width="9.140625" style="27"/>
    <col min="9985" max="9985" width="5.7109375" style="27" customWidth="1"/>
    <col min="9986" max="9986" width="55.28515625" style="27" customWidth="1"/>
    <col min="9987" max="9987" width="16.140625" style="27" customWidth="1"/>
    <col min="9988" max="9988" width="16.42578125" style="27" customWidth="1"/>
    <col min="9989" max="9989" width="13.42578125" style="27" customWidth="1"/>
    <col min="9990" max="9990" width="11" style="27" customWidth="1"/>
    <col min="9991" max="9991" width="9.140625" style="27"/>
    <col min="9992" max="9992" width="11.28515625" style="27" customWidth="1"/>
    <col min="9993" max="9998" width="9.140625" style="27"/>
    <col min="9999" max="9999" width="10.140625" style="27" bestFit="1" customWidth="1"/>
    <col min="10000" max="10240" width="9.140625" style="27"/>
    <col min="10241" max="10241" width="5.7109375" style="27" customWidth="1"/>
    <col min="10242" max="10242" width="55.28515625" style="27" customWidth="1"/>
    <col min="10243" max="10243" width="16.140625" style="27" customWidth="1"/>
    <col min="10244" max="10244" width="16.42578125" style="27" customWidth="1"/>
    <col min="10245" max="10245" width="13.42578125" style="27" customWidth="1"/>
    <col min="10246" max="10246" width="11" style="27" customWidth="1"/>
    <col min="10247" max="10247" width="9.140625" style="27"/>
    <col min="10248" max="10248" width="11.28515625" style="27" customWidth="1"/>
    <col min="10249" max="10254" width="9.140625" style="27"/>
    <col min="10255" max="10255" width="10.140625" style="27" bestFit="1" customWidth="1"/>
    <col min="10256" max="10496" width="9.140625" style="27"/>
    <col min="10497" max="10497" width="5.7109375" style="27" customWidth="1"/>
    <col min="10498" max="10498" width="55.28515625" style="27" customWidth="1"/>
    <col min="10499" max="10499" width="16.140625" style="27" customWidth="1"/>
    <col min="10500" max="10500" width="16.42578125" style="27" customWidth="1"/>
    <col min="10501" max="10501" width="13.42578125" style="27" customWidth="1"/>
    <col min="10502" max="10502" width="11" style="27" customWidth="1"/>
    <col min="10503" max="10503" width="9.140625" style="27"/>
    <col min="10504" max="10504" width="11.28515625" style="27" customWidth="1"/>
    <col min="10505" max="10510" width="9.140625" style="27"/>
    <col min="10511" max="10511" width="10.140625" style="27" bestFit="1" customWidth="1"/>
    <col min="10512" max="10752" width="9.140625" style="27"/>
    <col min="10753" max="10753" width="5.7109375" style="27" customWidth="1"/>
    <col min="10754" max="10754" width="55.28515625" style="27" customWidth="1"/>
    <col min="10755" max="10755" width="16.140625" style="27" customWidth="1"/>
    <col min="10756" max="10756" width="16.42578125" style="27" customWidth="1"/>
    <col min="10757" max="10757" width="13.42578125" style="27" customWidth="1"/>
    <col min="10758" max="10758" width="11" style="27" customWidth="1"/>
    <col min="10759" max="10759" width="9.140625" style="27"/>
    <col min="10760" max="10760" width="11.28515625" style="27" customWidth="1"/>
    <col min="10761" max="10766" width="9.140625" style="27"/>
    <col min="10767" max="10767" width="10.140625" style="27" bestFit="1" customWidth="1"/>
    <col min="10768" max="11008" width="9.140625" style="27"/>
    <col min="11009" max="11009" width="5.7109375" style="27" customWidth="1"/>
    <col min="11010" max="11010" width="55.28515625" style="27" customWidth="1"/>
    <col min="11011" max="11011" width="16.140625" style="27" customWidth="1"/>
    <col min="11012" max="11012" width="16.42578125" style="27" customWidth="1"/>
    <col min="11013" max="11013" width="13.42578125" style="27" customWidth="1"/>
    <col min="11014" max="11014" width="11" style="27" customWidth="1"/>
    <col min="11015" max="11015" width="9.140625" style="27"/>
    <col min="11016" max="11016" width="11.28515625" style="27" customWidth="1"/>
    <col min="11017" max="11022" width="9.140625" style="27"/>
    <col min="11023" max="11023" width="10.140625" style="27" bestFit="1" customWidth="1"/>
    <col min="11024" max="11264" width="9.140625" style="27"/>
    <col min="11265" max="11265" width="5.7109375" style="27" customWidth="1"/>
    <col min="11266" max="11266" width="55.28515625" style="27" customWidth="1"/>
    <col min="11267" max="11267" width="16.140625" style="27" customWidth="1"/>
    <col min="11268" max="11268" width="16.42578125" style="27" customWidth="1"/>
    <col min="11269" max="11269" width="13.42578125" style="27" customWidth="1"/>
    <col min="11270" max="11270" width="11" style="27" customWidth="1"/>
    <col min="11271" max="11271" width="9.140625" style="27"/>
    <col min="11272" max="11272" width="11.28515625" style="27" customWidth="1"/>
    <col min="11273" max="11278" width="9.140625" style="27"/>
    <col min="11279" max="11279" width="10.140625" style="27" bestFit="1" customWidth="1"/>
    <col min="11280" max="11520" width="9.140625" style="27"/>
    <col min="11521" max="11521" width="5.7109375" style="27" customWidth="1"/>
    <col min="11522" max="11522" width="55.28515625" style="27" customWidth="1"/>
    <col min="11523" max="11523" width="16.140625" style="27" customWidth="1"/>
    <col min="11524" max="11524" width="16.42578125" style="27" customWidth="1"/>
    <col min="11525" max="11525" width="13.42578125" style="27" customWidth="1"/>
    <col min="11526" max="11526" width="11" style="27" customWidth="1"/>
    <col min="11527" max="11527" width="9.140625" style="27"/>
    <col min="11528" max="11528" width="11.28515625" style="27" customWidth="1"/>
    <col min="11529" max="11534" width="9.140625" style="27"/>
    <col min="11535" max="11535" width="10.140625" style="27" bestFit="1" customWidth="1"/>
    <col min="11536" max="11776" width="9.140625" style="27"/>
    <col min="11777" max="11777" width="5.7109375" style="27" customWidth="1"/>
    <col min="11778" max="11778" width="55.28515625" style="27" customWidth="1"/>
    <col min="11779" max="11779" width="16.140625" style="27" customWidth="1"/>
    <col min="11780" max="11780" width="16.42578125" style="27" customWidth="1"/>
    <col min="11781" max="11781" width="13.42578125" style="27" customWidth="1"/>
    <col min="11782" max="11782" width="11" style="27" customWidth="1"/>
    <col min="11783" max="11783" width="9.140625" style="27"/>
    <col min="11784" max="11784" width="11.28515625" style="27" customWidth="1"/>
    <col min="11785" max="11790" width="9.140625" style="27"/>
    <col min="11791" max="11791" width="10.140625" style="27" bestFit="1" customWidth="1"/>
    <col min="11792" max="12032" width="9.140625" style="27"/>
    <col min="12033" max="12033" width="5.7109375" style="27" customWidth="1"/>
    <col min="12034" max="12034" width="55.28515625" style="27" customWidth="1"/>
    <col min="12035" max="12035" width="16.140625" style="27" customWidth="1"/>
    <col min="12036" max="12036" width="16.42578125" style="27" customWidth="1"/>
    <col min="12037" max="12037" width="13.42578125" style="27" customWidth="1"/>
    <col min="12038" max="12038" width="11" style="27" customWidth="1"/>
    <col min="12039" max="12039" width="9.140625" style="27"/>
    <col min="12040" max="12040" width="11.28515625" style="27" customWidth="1"/>
    <col min="12041" max="12046" width="9.140625" style="27"/>
    <col min="12047" max="12047" width="10.140625" style="27" bestFit="1" customWidth="1"/>
    <col min="12048" max="12288" width="9.140625" style="27"/>
    <col min="12289" max="12289" width="5.7109375" style="27" customWidth="1"/>
    <col min="12290" max="12290" width="55.28515625" style="27" customWidth="1"/>
    <col min="12291" max="12291" width="16.140625" style="27" customWidth="1"/>
    <col min="12292" max="12292" width="16.42578125" style="27" customWidth="1"/>
    <col min="12293" max="12293" width="13.42578125" style="27" customWidth="1"/>
    <col min="12294" max="12294" width="11" style="27" customWidth="1"/>
    <col min="12295" max="12295" width="9.140625" style="27"/>
    <col min="12296" max="12296" width="11.28515625" style="27" customWidth="1"/>
    <col min="12297" max="12302" width="9.140625" style="27"/>
    <col min="12303" max="12303" width="10.140625" style="27" bestFit="1" customWidth="1"/>
    <col min="12304" max="12544" width="9.140625" style="27"/>
    <col min="12545" max="12545" width="5.7109375" style="27" customWidth="1"/>
    <col min="12546" max="12546" width="55.28515625" style="27" customWidth="1"/>
    <col min="12547" max="12547" width="16.140625" style="27" customWidth="1"/>
    <col min="12548" max="12548" width="16.42578125" style="27" customWidth="1"/>
    <col min="12549" max="12549" width="13.42578125" style="27" customWidth="1"/>
    <col min="12550" max="12550" width="11" style="27" customWidth="1"/>
    <col min="12551" max="12551" width="9.140625" style="27"/>
    <col min="12552" max="12552" width="11.28515625" style="27" customWidth="1"/>
    <col min="12553" max="12558" width="9.140625" style="27"/>
    <col min="12559" max="12559" width="10.140625" style="27" bestFit="1" customWidth="1"/>
    <col min="12560" max="12800" width="9.140625" style="27"/>
    <col min="12801" max="12801" width="5.7109375" style="27" customWidth="1"/>
    <col min="12802" max="12802" width="55.28515625" style="27" customWidth="1"/>
    <col min="12803" max="12803" width="16.140625" style="27" customWidth="1"/>
    <col min="12804" max="12804" width="16.42578125" style="27" customWidth="1"/>
    <col min="12805" max="12805" width="13.42578125" style="27" customWidth="1"/>
    <col min="12806" max="12806" width="11" style="27" customWidth="1"/>
    <col min="12807" max="12807" width="9.140625" style="27"/>
    <col min="12808" max="12808" width="11.28515625" style="27" customWidth="1"/>
    <col min="12809" max="12814" width="9.140625" style="27"/>
    <col min="12815" max="12815" width="10.140625" style="27" bestFit="1" customWidth="1"/>
    <col min="12816" max="13056" width="9.140625" style="27"/>
    <col min="13057" max="13057" width="5.7109375" style="27" customWidth="1"/>
    <col min="13058" max="13058" width="55.28515625" style="27" customWidth="1"/>
    <col min="13059" max="13059" width="16.140625" style="27" customWidth="1"/>
    <col min="13060" max="13060" width="16.42578125" style="27" customWidth="1"/>
    <col min="13061" max="13061" width="13.42578125" style="27" customWidth="1"/>
    <col min="13062" max="13062" width="11" style="27" customWidth="1"/>
    <col min="13063" max="13063" width="9.140625" style="27"/>
    <col min="13064" max="13064" width="11.28515625" style="27" customWidth="1"/>
    <col min="13065" max="13070" width="9.140625" style="27"/>
    <col min="13071" max="13071" width="10.140625" style="27" bestFit="1" customWidth="1"/>
    <col min="13072" max="13312" width="9.140625" style="27"/>
    <col min="13313" max="13313" width="5.7109375" style="27" customWidth="1"/>
    <col min="13314" max="13314" width="55.28515625" style="27" customWidth="1"/>
    <col min="13315" max="13315" width="16.140625" style="27" customWidth="1"/>
    <col min="13316" max="13316" width="16.42578125" style="27" customWidth="1"/>
    <col min="13317" max="13317" width="13.42578125" style="27" customWidth="1"/>
    <col min="13318" max="13318" width="11" style="27" customWidth="1"/>
    <col min="13319" max="13319" width="9.140625" style="27"/>
    <col min="13320" max="13320" width="11.28515625" style="27" customWidth="1"/>
    <col min="13321" max="13326" width="9.140625" style="27"/>
    <col min="13327" max="13327" width="10.140625" style="27" bestFit="1" customWidth="1"/>
    <col min="13328" max="13568" width="9.140625" style="27"/>
    <col min="13569" max="13569" width="5.7109375" style="27" customWidth="1"/>
    <col min="13570" max="13570" width="55.28515625" style="27" customWidth="1"/>
    <col min="13571" max="13571" width="16.140625" style="27" customWidth="1"/>
    <col min="13572" max="13572" width="16.42578125" style="27" customWidth="1"/>
    <col min="13573" max="13573" width="13.42578125" style="27" customWidth="1"/>
    <col min="13574" max="13574" width="11" style="27" customWidth="1"/>
    <col min="13575" max="13575" width="9.140625" style="27"/>
    <col min="13576" max="13576" width="11.28515625" style="27" customWidth="1"/>
    <col min="13577" max="13582" width="9.140625" style="27"/>
    <col min="13583" max="13583" width="10.140625" style="27" bestFit="1" customWidth="1"/>
    <col min="13584" max="13824" width="9.140625" style="27"/>
    <col min="13825" max="13825" width="5.7109375" style="27" customWidth="1"/>
    <col min="13826" max="13826" width="55.28515625" style="27" customWidth="1"/>
    <col min="13827" max="13827" width="16.140625" style="27" customWidth="1"/>
    <col min="13828" max="13828" width="16.42578125" style="27" customWidth="1"/>
    <col min="13829" max="13829" width="13.42578125" style="27" customWidth="1"/>
    <col min="13830" max="13830" width="11" style="27" customWidth="1"/>
    <col min="13831" max="13831" width="9.140625" style="27"/>
    <col min="13832" max="13832" width="11.28515625" style="27" customWidth="1"/>
    <col min="13833" max="13838" width="9.140625" style="27"/>
    <col min="13839" max="13839" width="10.140625" style="27" bestFit="1" customWidth="1"/>
    <col min="13840" max="14080" width="9.140625" style="27"/>
    <col min="14081" max="14081" width="5.7109375" style="27" customWidth="1"/>
    <col min="14082" max="14082" width="55.28515625" style="27" customWidth="1"/>
    <col min="14083" max="14083" width="16.140625" style="27" customWidth="1"/>
    <col min="14084" max="14084" width="16.42578125" style="27" customWidth="1"/>
    <col min="14085" max="14085" width="13.42578125" style="27" customWidth="1"/>
    <col min="14086" max="14086" width="11" style="27" customWidth="1"/>
    <col min="14087" max="14087" width="9.140625" style="27"/>
    <col min="14088" max="14088" width="11.28515625" style="27" customWidth="1"/>
    <col min="14089" max="14094" width="9.140625" style="27"/>
    <col min="14095" max="14095" width="10.140625" style="27" bestFit="1" customWidth="1"/>
    <col min="14096" max="14336" width="9.140625" style="27"/>
    <col min="14337" max="14337" width="5.7109375" style="27" customWidth="1"/>
    <col min="14338" max="14338" width="55.28515625" style="27" customWidth="1"/>
    <col min="14339" max="14339" width="16.140625" style="27" customWidth="1"/>
    <col min="14340" max="14340" width="16.42578125" style="27" customWidth="1"/>
    <col min="14341" max="14341" width="13.42578125" style="27" customWidth="1"/>
    <col min="14342" max="14342" width="11" style="27" customWidth="1"/>
    <col min="14343" max="14343" width="9.140625" style="27"/>
    <col min="14344" max="14344" width="11.28515625" style="27" customWidth="1"/>
    <col min="14345" max="14350" width="9.140625" style="27"/>
    <col min="14351" max="14351" width="10.140625" style="27" bestFit="1" customWidth="1"/>
    <col min="14352" max="14592" width="9.140625" style="27"/>
    <col min="14593" max="14593" width="5.7109375" style="27" customWidth="1"/>
    <col min="14594" max="14594" width="55.28515625" style="27" customWidth="1"/>
    <col min="14595" max="14595" width="16.140625" style="27" customWidth="1"/>
    <col min="14596" max="14596" width="16.42578125" style="27" customWidth="1"/>
    <col min="14597" max="14597" width="13.42578125" style="27" customWidth="1"/>
    <col min="14598" max="14598" width="11" style="27" customWidth="1"/>
    <col min="14599" max="14599" width="9.140625" style="27"/>
    <col min="14600" max="14600" width="11.28515625" style="27" customWidth="1"/>
    <col min="14601" max="14606" width="9.140625" style="27"/>
    <col min="14607" max="14607" width="10.140625" style="27" bestFit="1" customWidth="1"/>
    <col min="14608" max="14848" width="9.140625" style="27"/>
    <col min="14849" max="14849" width="5.7109375" style="27" customWidth="1"/>
    <col min="14850" max="14850" width="55.28515625" style="27" customWidth="1"/>
    <col min="14851" max="14851" width="16.140625" style="27" customWidth="1"/>
    <col min="14852" max="14852" width="16.42578125" style="27" customWidth="1"/>
    <col min="14853" max="14853" width="13.42578125" style="27" customWidth="1"/>
    <col min="14854" max="14854" width="11" style="27" customWidth="1"/>
    <col min="14855" max="14855" width="9.140625" style="27"/>
    <col min="14856" max="14856" width="11.28515625" style="27" customWidth="1"/>
    <col min="14857" max="14862" width="9.140625" style="27"/>
    <col min="14863" max="14863" width="10.140625" style="27" bestFit="1" customWidth="1"/>
    <col min="14864" max="15104" width="9.140625" style="27"/>
    <col min="15105" max="15105" width="5.7109375" style="27" customWidth="1"/>
    <col min="15106" max="15106" width="55.28515625" style="27" customWidth="1"/>
    <col min="15107" max="15107" width="16.140625" style="27" customWidth="1"/>
    <col min="15108" max="15108" width="16.42578125" style="27" customWidth="1"/>
    <col min="15109" max="15109" width="13.42578125" style="27" customWidth="1"/>
    <col min="15110" max="15110" width="11" style="27" customWidth="1"/>
    <col min="15111" max="15111" width="9.140625" style="27"/>
    <col min="15112" max="15112" width="11.28515625" style="27" customWidth="1"/>
    <col min="15113" max="15118" width="9.140625" style="27"/>
    <col min="15119" max="15119" width="10.140625" style="27" bestFit="1" customWidth="1"/>
    <col min="15120" max="15360" width="9.140625" style="27"/>
    <col min="15361" max="15361" width="5.7109375" style="27" customWidth="1"/>
    <col min="15362" max="15362" width="55.28515625" style="27" customWidth="1"/>
    <col min="15363" max="15363" width="16.140625" style="27" customWidth="1"/>
    <col min="15364" max="15364" width="16.42578125" style="27" customWidth="1"/>
    <col min="15365" max="15365" width="13.42578125" style="27" customWidth="1"/>
    <col min="15366" max="15366" width="11" style="27" customWidth="1"/>
    <col min="15367" max="15367" width="9.140625" style="27"/>
    <col min="15368" max="15368" width="11.28515625" style="27" customWidth="1"/>
    <col min="15369" max="15374" width="9.140625" style="27"/>
    <col min="15375" max="15375" width="10.140625" style="27" bestFit="1" customWidth="1"/>
    <col min="15376" max="15616" width="9.140625" style="27"/>
    <col min="15617" max="15617" width="5.7109375" style="27" customWidth="1"/>
    <col min="15618" max="15618" width="55.28515625" style="27" customWidth="1"/>
    <col min="15619" max="15619" width="16.140625" style="27" customWidth="1"/>
    <col min="15620" max="15620" width="16.42578125" style="27" customWidth="1"/>
    <col min="15621" max="15621" width="13.42578125" style="27" customWidth="1"/>
    <col min="15622" max="15622" width="11" style="27" customWidth="1"/>
    <col min="15623" max="15623" width="9.140625" style="27"/>
    <col min="15624" max="15624" width="11.28515625" style="27" customWidth="1"/>
    <col min="15625" max="15630" width="9.140625" style="27"/>
    <col min="15631" max="15631" width="10.140625" style="27" bestFit="1" customWidth="1"/>
    <col min="15632" max="15872" width="9.140625" style="27"/>
    <col min="15873" max="15873" width="5.7109375" style="27" customWidth="1"/>
    <col min="15874" max="15874" width="55.28515625" style="27" customWidth="1"/>
    <col min="15875" max="15875" width="16.140625" style="27" customWidth="1"/>
    <col min="15876" max="15876" width="16.42578125" style="27" customWidth="1"/>
    <col min="15877" max="15877" width="13.42578125" style="27" customWidth="1"/>
    <col min="15878" max="15878" width="11" style="27" customWidth="1"/>
    <col min="15879" max="15879" width="9.140625" style="27"/>
    <col min="15880" max="15880" width="11.28515625" style="27" customWidth="1"/>
    <col min="15881" max="15886" width="9.140625" style="27"/>
    <col min="15887" max="15887" width="10.140625" style="27" bestFit="1" customWidth="1"/>
    <col min="15888" max="16128" width="9.140625" style="27"/>
    <col min="16129" max="16129" width="5.7109375" style="27" customWidth="1"/>
    <col min="16130" max="16130" width="55.28515625" style="27" customWidth="1"/>
    <col min="16131" max="16131" width="16.140625" style="27" customWidth="1"/>
    <col min="16132" max="16132" width="16.42578125" style="27" customWidth="1"/>
    <col min="16133" max="16133" width="13.42578125" style="27" customWidth="1"/>
    <col min="16134" max="16134" width="11" style="27" customWidth="1"/>
    <col min="16135" max="16135" width="9.140625" style="27"/>
    <col min="16136" max="16136" width="11.28515625" style="27" customWidth="1"/>
    <col min="16137" max="16142" width="9.140625" style="27"/>
    <col min="16143" max="16143" width="10.140625" style="27" bestFit="1" customWidth="1"/>
    <col min="16144" max="16384" width="9.140625" style="27"/>
  </cols>
  <sheetData>
    <row r="1" spans="1:17" ht="15">
      <c r="D1" s="28" t="s">
        <v>92</v>
      </c>
      <c r="E1" s="45">
        <v>1.03</v>
      </c>
    </row>
    <row r="2" spans="1:17" ht="15">
      <c r="A2" s="31"/>
    </row>
    <row r="3" spans="1:17" ht="13.5">
      <c r="A3" s="46" t="s">
        <v>93</v>
      </c>
      <c r="B3" s="46"/>
      <c r="C3" s="46"/>
      <c r="D3" s="46"/>
    </row>
    <row r="4" spans="1:17" ht="13.5">
      <c r="A4" s="46" t="s">
        <v>94</v>
      </c>
      <c r="B4" s="46"/>
      <c r="C4" s="46"/>
      <c r="D4" s="46"/>
      <c r="F4" s="27">
        <f>C9*H8</f>
        <v>15145.338824119999</v>
      </c>
    </row>
    <row r="5" spans="1:17" ht="13.5">
      <c r="A5" s="47"/>
    </row>
    <row r="6" spans="1:17" ht="13.5">
      <c r="A6" s="47" t="s">
        <v>95</v>
      </c>
    </row>
    <row r="7" spans="1:17" ht="60">
      <c r="A7" s="32" t="s">
        <v>30</v>
      </c>
      <c r="B7" s="32" t="s">
        <v>96</v>
      </c>
      <c r="C7" s="32" t="s">
        <v>32</v>
      </c>
      <c r="D7" s="32" t="s">
        <v>33</v>
      </c>
      <c r="F7" s="27">
        <f>C9*H8</f>
        <v>15145.338824119999</v>
      </c>
      <c r="J7" s="30">
        <v>0.3024</v>
      </c>
    </row>
    <row r="8" spans="1:17" ht="15">
      <c r="A8" s="33">
        <v>1</v>
      </c>
      <c r="B8" s="33">
        <v>2</v>
      </c>
      <c r="C8" s="33">
        <v>3</v>
      </c>
      <c r="D8" s="33">
        <v>4</v>
      </c>
      <c r="H8" s="45">
        <f>'[1]2_1_Расчёт_план_затрат 2020'!C15</f>
        <v>1789.33</v>
      </c>
      <c r="P8" s="43" t="s">
        <v>97</v>
      </c>
      <c r="Q8" s="43" t="s">
        <v>98</v>
      </c>
    </row>
    <row r="9" spans="1:17" ht="15">
      <c r="A9" s="34"/>
      <c r="B9" s="34" t="s">
        <v>99</v>
      </c>
      <c r="C9" s="35">
        <f>C10+C15+C20+C29+C35+C39</f>
        <v>8.4642513254234828</v>
      </c>
      <c r="D9" s="35">
        <f>D10+D15+D20+D29+D35+D39</f>
        <v>8.7081364293694303</v>
      </c>
      <c r="E9" s="45">
        <f>C9*$H$8</f>
        <v>15145.338824119999</v>
      </c>
      <c r="H9" s="35">
        <f>H10+H15+H20+H29+H35+H39</f>
        <v>20233.1459</v>
      </c>
      <c r="O9" s="48" t="s">
        <v>100</v>
      </c>
      <c r="P9" s="48" t="s">
        <v>101</v>
      </c>
      <c r="Q9" s="48" t="s">
        <v>101</v>
      </c>
    </row>
    <row r="10" spans="1:17" ht="30">
      <c r="A10" s="34" t="s">
        <v>102</v>
      </c>
      <c r="B10" s="34" t="s">
        <v>103</v>
      </c>
      <c r="C10" s="49">
        <f>SUM(C11:C14)</f>
        <v>0.79245938598246268</v>
      </c>
      <c r="D10" s="49">
        <f>SUM(D11:D14)</f>
        <v>0.81623316756193665</v>
      </c>
      <c r="E10" s="45">
        <f t="shared" ref="E10:E44" si="0">C10*$H$8</f>
        <v>1417.97135312</v>
      </c>
      <c r="H10" s="35">
        <f>SUM(H11:H14)</f>
        <v>1945.8299000000002</v>
      </c>
      <c r="N10" s="50" t="s">
        <v>104</v>
      </c>
      <c r="O10" s="51">
        <f>H11+H31+H40</f>
        <v>8917.5300000000007</v>
      </c>
      <c r="P10" s="52">
        <f>O10/$H$8</f>
        <v>4.9837257520971541</v>
      </c>
      <c r="Q10" s="52">
        <f>C11+C16+C31+C40</f>
        <v>4.9837257520971541</v>
      </c>
    </row>
    <row r="11" spans="1:17" ht="15">
      <c r="A11" s="34" t="s">
        <v>105</v>
      </c>
      <c r="B11" s="53" t="s">
        <v>106</v>
      </c>
      <c r="C11" s="49">
        <f>H11/$H$8</f>
        <v>0.51861311217047723</v>
      </c>
      <c r="D11" s="49">
        <f>C11*$E$1</f>
        <v>0.53417150553559156</v>
      </c>
      <c r="E11" s="45">
        <f t="shared" si="0"/>
        <v>927.97</v>
      </c>
      <c r="H11" s="35">
        <f>'[1]Расчёт ФОТ_Авто_2020'!K30</f>
        <v>927.97</v>
      </c>
      <c r="J11" s="45">
        <f>H11</f>
        <v>927.97</v>
      </c>
      <c r="N11" s="50" t="s">
        <v>107</v>
      </c>
      <c r="O11" s="51">
        <f>H12+H32+H41</f>
        <v>2696.66</v>
      </c>
      <c r="P11" s="52">
        <f>O11/$H$8</f>
        <v>1.5070780683272509</v>
      </c>
      <c r="Q11" s="52">
        <f>C12+C32+C41</f>
        <v>1.5168286051203523</v>
      </c>
    </row>
    <row r="12" spans="1:17" ht="30">
      <c r="A12" s="34" t="s">
        <v>108</v>
      </c>
      <c r="B12" s="53" t="s">
        <v>109</v>
      </c>
      <c r="C12" s="49">
        <f>C11*0.3024</f>
        <v>0.15682860512035232</v>
      </c>
      <c r="D12" s="49">
        <f>D11*$J$7</f>
        <v>0.1615334632739629</v>
      </c>
      <c r="E12" s="45">
        <f t="shared" si="0"/>
        <v>280.61812800000001</v>
      </c>
      <c r="H12" s="35">
        <f>ROUND(H11*J7,2)</f>
        <v>280.62</v>
      </c>
      <c r="K12" s="54">
        <f>H12</f>
        <v>280.62</v>
      </c>
      <c r="N12" s="50" t="s">
        <v>110</v>
      </c>
      <c r="O12" s="51">
        <f>H13+H33+H43</f>
        <v>2206.6961000000001</v>
      </c>
      <c r="P12" s="52">
        <f>O12/$H$8</f>
        <v>1.2332527258806369</v>
      </c>
      <c r="Q12" s="52">
        <f>C13+C33+C43</f>
        <v>0.85057044759770406</v>
      </c>
    </row>
    <row r="13" spans="1:17" ht="15">
      <c r="A13" s="34" t="s">
        <v>111</v>
      </c>
      <c r="B13" s="53" t="s">
        <v>112</v>
      </c>
      <c r="C13" s="49">
        <f>ROUND((C11+C12)*0.13,2)</f>
        <v>0.09</v>
      </c>
      <c r="D13" s="49">
        <f t="shared" ref="D13:D15" si="1">C13*$E$1</f>
        <v>9.2700000000000005E-2</v>
      </c>
      <c r="E13" s="45">
        <f t="shared" si="0"/>
        <v>161.03969999999998</v>
      </c>
      <c r="H13" s="35">
        <f>(H11+H12)*0.19</f>
        <v>229.63210000000004</v>
      </c>
      <c r="I13" s="49">
        <f>H13</f>
        <v>229.63210000000004</v>
      </c>
      <c r="N13" s="50" t="s">
        <v>113</v>
      </c>
      <c r="O13" s="51">
        <f>H14+H34+H44</f>
        <v>4877.9597999999996</v>
      </c>
      <c r="P13" s="52">
        <f>O13/$H$8</f>
        <v>2.7261376045782497</v>
      </c>
      <c r="Q13" s="52">
        <f>C14+C34+C44</f>
        <v>0.25565472949092677</v>
      </c>
    </row>
    <row r="14" spans="1:17" ht="15">
      <c r="A14" s="34" t="s">
        <v>114</v>
      </c>
      <c r="B14" s="53" t="s">
        <v>115</v>
      </c>
      <c r="C14" s="49">
        <f>(C11+C12)*0.04</f>
        <v>2.7017668691633183E-2</v>
      </c>
      <c r="D14" s="49">
        <f t="shared" si="1"/>
        <v>2.7828198752382179E-2</v>
      </c>
      <c r="E14" s="45">
        <f t="shared" si="0"/>
        <v>48.343525120000002</v>
      </c>
      <c r="H14" s="35">
        <f>(H11+H12)*0.42</f>
        <v>507.60780000000005</v>
      </c>
      <c r="I14" s="49">
        <f>H14</f>
        <v>507.60780000000005</v>
      </c>
      <c r="N14" s="50" t="s">
        <v>116</v>
      </c>
      <c r="O14" s="51">
        <f>H42</f>
        <v>1534.3</v>
      </c>
      <c r="P14" s="52">
        <f>O14/$H$8</f>
        <v>0.85747179111734562</v>
      </c>
      <c r="Q14" s="52">
        <f>C42</f>
        <v>0.85747179111734562</v>
      </c>
    </row>
    <row r="15" spans="1:17" ht="30">
      <c r="A15" s="34" t="s">
        <v>117</v>
      </c>
      <c r="B15" s="34" t="s">
        <v>118</v>
      </c>
      <c r="C15" s="49">
        <f>SUM(C16:C19)</f>
        <v>0</v>
      </c>
      <c r="D15" s="49">
        <f t="shared" si="1"/>
        <v>0</v>
      </c>
      <c r="E15" s="45">
        <f t="shared" si="0"/>
        <v>0</v>
      </c>
      <c r="H15" s="35">
        <f>SUM(H16:H19)</f>
        <v>0</v>
      </c>
      <c r="O15" s="51">
        <f>SUM(O10:O14)</f>
        <v>20233.1459</v>
      </c>
      <c r="P15" s="52">
        <f>SUM(P10:P14)</f>
        <v>11.307665942000638</v>
      </c>
      <c r="Q15" s="52">
        <f>SUM(Q10:Q14)</f>
        <v>8.4642513254234828</v>
      </c>
    </row>
    <row r="16" spans="1:17" ht="15">
      <c r="A16" s="34" t="s">
        <v>119</v>
      </c>
      <c r="B16" s="53" t="s">
        <v>106</v>
      </c>
      <c r="C16" s="49"/>
      <c r="D16" s="34"/>
      <c r="E16" s="45">
        <f t="shared" si="0"/>
        <v>0</v>
      </c>
      <c r="H16" s="35"/>
      <c r="J16" s="45">
        <f>H16</f>
        <v>0</v>
      </c>
    </row>
    <row r="17" spans="1:15" ht="30">
      <c r="A17" s="34" t="s">
        <v>120</v>
      </c>
      <c r="B17" s="53" t="s">
        <v>109</v>
      </c>
      <c r="C17" s="49"/>
      <c r="D17" s="34"/>
      <c r="E17" s="45">
        <f t="shared" si="0"/>
        <v>0</v>
      </c>
      <c r="H17" s="35">
        <v>0</v>
      </c>
      <c r="K17" s="54">
        <f>H17</f>
        <v>0</v>
      </c>
      <c r="O17" s="27">
        <f>O15/H8</f>
        <v>11.307665942000638</v>
      </c>
    </row>
    <row r="18" spans="1:15" ht="15">
      <c r="A18" s="34" t="s">
        <v>121</v>
      </c>
      <c r="B18" s="53" t="s">
        <v>112</v>
      </c>
      <c r="C18" s="49"/>
      <c r="D18" s="34"/>
      <c r="E18" s="45">
        <f t="shared" si="0"/>
        <v>0</v>
      </c>
      <c r="H18" s="35">
        <f>(H16+H17)*0.13</f>
        <v>0</v>
      </c>
      <c r="I18" s="49">
        <f>H18</f>
        <v>0</v>
      </c>
      <c r="O18" s="27">
        <f>6.08*H8</f>
        <v>10879.126399999999</v>
      </c>
    </row>
    <row r="19" spans="1:15" ht="15">
      <c r="A19" s="34" t="s">
        <v>122</v>
      </c>
      <c r="B19" s="53" t="s">
        <v>115</v>
      </c>
      <c r="C19" s="49"/>
      <c r="D19" s="34"/>
      <c r="E19" s="45">
        <f t="shared" si="0"/>
        <v>0</v>
      </c>
      <c r="H19" s="35">
        <f>(H16+H17)*0.04</f>
        <v>0</v>
      </c>
      <c r="I19" s="49">
        <f>H19</f>
        <v>0</v>
      </c>
    </row>
    <row r="20" spans="1:15" ht="60.75" customHeight="1">
      <c r="A20" s="34" t="s">
        <v>123</v>
      </c>
      <c r="B20" s="34" t="s">
        <v>124</v>
      </c>
      <c r="C20" s="49"/>
      <c r="D20" s="34"/>
      <c r="E20" s="45">
        <f t="shared" si="0"/>
        <v>0</v>
      </c>
      <c r="H20" s="35">
        <f>SUM(H21:H28)</f>
        <v>0</v>
      </c>
    </row>
    <row r="21" spans="1:15" ht="15">
      <c r="A21" s="34" t="s">
        <v>125</v>
      </c>
      <c r="B21" s="34" t="s">
        <v>126</v>
      </c>
      <c r="C21" s="49"/>
      <c r="D21" s="34"/>
      <c r="E21" s="45">
        <f t="shared" si="0"/>
        <v>0</v>
      </c>
      <c r="H21" s="35"/>
    </row>
    <row r="22" spans="1:15" ht="15">
      <c r="A22" s="34" t="s">
        <v>127</v>
      </c>
      <c r="B22" s="34" t="s">
        <v>128</v>
      </c>
      <c r="C22" s="49"/>
      <c r="D22" s="34"/>
      <c r="E22" s="45">
        <f t="shared" si="0"/>
        <v>0</v>
      </c>
      <c r="H22" s="35"/>
    </row>
    <row r="23" spans="1:15" ht="15">
      <c r="A23" s="34" t="s">
        <v>129</v>
      </c>
      <c r="B23" s="34"/>
      <c r="C23" s="49"/>
      <c r="D23" s="34"/>
      <c r="E23" s="45">
        <f t="shared" si="0"/>
        <v>0</v>
      </c>
      <c r="H23" s="35">
        <v>0</v>
      </c>
    </row>
    <row r="24" spans="1:15" ht="15">
      <c r="A24" s="34" t="s">
        <v>130</v>
      </c>
      <c r="B24" s="34"/>
      <c r="C24" s="49"/>
      <c r="D24" s="34"/>
      <c r="E24" s="45">
        <f t="shared" si="0"/>
        <v>0</v>
      </c>
      <c r="H24" s="35"/>
    </row>
    <row r="25" spans="1:15" ht="15">
      <c r="A25" s="34" t="s">
        <v>131</v>
      </c>
      <c r="B25" s="34" t="s">
        <v>132</v>
      </c>
      <c r="C25" s="49"/>
      <c r="D25" s="34"/>
      <c r="E25" s="45">
        <f t="shared" si="0"/>
        <v>0</v>
      </c>
      <c r="H25" s="35"/>
    </row>
    <row r="26" spans="1:15" ht="30">
      <c r="A26" s="34" t="s">
        <v>133</v>
      </c>
      <c r="B26" s="34" t="s">
        <v>134</v>
      </c>
      <c r="C26" s="49"/>
      <c r="D26" s="34"/>
      <c r="E26" s="45">
        <f t="shared" si="0"/>
        <v>0</v>
      </c>
      <c r="H26" s="35"/>
    </row>
    <row r="27" spans="1:15" ht="30">
      <c r="A27" s="34" t="s">
        <v>135</v>
      </c>
      <c r="B27" s="34" t="s">
        <v>136</v>
      </c>
      <c r="C27" s="49"/>
      <c r="D27" s="34"/>
      <c r="E27" s="45">
        <f t="shared" si="0"/>
        <v>0</v>
      </c>
      <c r="H27" s="35"/>
    </row>
    <row r="28" spans="1:15" ht="30">
      <c r="A28" s="34" t="s">
        <v>137</v>
      </c>
      <c r="B28" s="53" t="s">
        <v>81</v>
      </c>
      <c r="C28" s="49">
        <v>0</v>
      </c>
      <c r="D28" s="49">
        <f>C28</f>
        <v>0</v>
      </c>
      <c r="E28" s="45">
        <f t="shared" si="0"/>
        <v>0</v>
      </c>
      <c r="H28" s="35">
        <f>H23*0.2</f>
        <v>0</v>
      </c>
    </row>
    <row r="29" spans="1:15" ht="15">
      <c r="A29" s="55" t="s">
        <v>138</v>
      </c>
      <c r="B29" s="34" t="s">
        <v>139</v>
      </c>
      <c r="C29" s="49">
        <f>SUM(C31:C34)</f>
        <v>0.54513402837933755</v>
      </c>
      <c r="D29" s="49">
        <f>SUM(D31:D34)</f>
        <v>0.55904919426265698</v>
      </c>
      <c r="E29" s="45">
        <f t="shared" si="0"/>
        <v>975.42467099999999</v>
      </c>
      <c r="H29" s="35">
        <f>SUM(H31:H34)</f>
        <v>1335.4306000000001</v>
      </c>
    </row>
    <row r="30" spans="1:15" ht="15">
      <c r="A30" s="55"/>
      <c r="B30" s="34" t="s">
        <v>140</v>
      </c>
      <c r="C30" s="49"/>
      <c r="D30" s="49"/>
      <c r="E30" s="45">
        <f t="shared" si="0"/>
        <v>0</v>
      </c>
      <c r="H30" s="35"/>
    </row>
    <row r="31" spans="1:15" ht="15">
      <c r="A31" s="34" t="s">
        <v>141</v>
      </c>
      <c r="B31" s="53" t="s">
        <v>106</v>
      </c>
      <c r="C31" s="49">
        <f>H31/$H$8</f>
        <v>0.35592651998233976</v>
      </c>
      <c r="D31" s="49">
        <f>C31*$E$1</f>
        <v>0.36660431558180995</v>
      </c>
      <c r="E31" s="45">
        <f t="shared" si="0"/>
        <v>636.87</v>
      </c>
      <c r="H31" s="35">
        <f>'[1]Расчёт ФОТ_Авто_2020'!K33</f>
        <v>636.87</v>
      </c>
      <c r="J31" s="45">
        <f>H31</f>
        <v>636.87</v>
      </c>
    </row>
    <row r="32" spans="1:15" ht="30">
      <c r="A32" s="34" t="s">
        <v>142</v>
      </c>
      <c r="B32" s="53" t="s">
        <v>109</v>
      </c>
      <c r="C32" s="49">
        <f>ROUND(C31*0.3044,2)</f>
        <v>0.11</v>
      </c>
      <c r="D32" s="49">
        <f>D31*$J$7</f>
        <v>0.11086114503193933</v>
      </c>
      <c r="E32" s="45">
        <f t="shared" si="0"/>
        <v>196.8263</v>
      </c>
      <c r="H32" s="35">
        <f>ROUND(H31*J7,2)</f>
        <v>192.59</v>
      </c>
      <c r="K32" s="54">
        <f>H32</f>
        <v>192.59</v>
      </c>
    </row>
    <row r="33" spans="1:11" ht="15">
      <c r="A33" s="34" t="s">
        <v>143</v>
      </c>
      <c r="B33" s="53" t="s">
        <v>112</v>
      </c>
      <c r="C33" s="49">
        <f>(C31+C32)*0.13</f>
        <v>6.057044759770417E-2</v>
      </c>
      <c r="D33" s="49">
        <f t="shared" ref="D33:D35" si="2">C33*$E$1</f>
        <v>6.2387561025635301E-2</v>
      </c>
      <c r="E33" s="45">
        <f t="shared" si="0"/>
        <v>108.38051899999999</v>
      </c>
      <c r="H33" s="35">
        <f>(H31+H32)*0.19</f>
        <v>157.59740000000002</v>
      </c>
      <c r="I33" s="49">
        <f>H33</f>
        <v>157.59740000000002</v>
      </c>
    </row>
    <row r="34" spans="1:11" ht="15">
      <c r="A34" s="34" t="s">
        <v>144</v>
      </c>
      <c r="B34" s="53" t="s">
        <v>115</v>
      </c>
      <c r="C34" s="49">
        <f>(C31+C32)*0.04</f>
        <v>1.863706079929359E-2</v>
      </c>
      <c r="D34" s="49">
        <f t="shared" si="2"/>
        <v>1.91961726232724E-2</v>
      </c>
      <c r="E34" s="45">
        <f t="shared" si="0"/>
        <v>33.347851999999996</v>
      </c>
      <c r="H34" s="35">
        <f>(H31+H32)*0.42</f>
        <v>348.3732</v>
      </c>
      <c r="I34" s="49">
        <f>H34</f>
        <v>348.3732</v>
      </c>
    </row>
    <row r="35" spans="1:11" ht="30">
      <c r="A35" s="34" t="s">
        <v>145</v>
      </c>
      <c r="B35" s="34" t="s">
        <v>146</v>
      </c>
      <c r="C35" s="49">
        <f>SUM(C36:C38)</f>
        <v>0</v>
      </c>
      <c r="D35" s="49">
        <f t="shared" si="2"/>
        <v>0</v>
      </c>
      <c r="E35" s="45">
        <f t="shared" si="0"/>
        <v>0</v>
      </c>
      <c r="H35" s="35"/>
    </row>
    <row r="36" spans="1:11" ht="15" hidden="1" customHeight="1">
      <c r="A36" s="34" t="s">
        <v>147</v>
      </c>
      <c r="B36" s="34"/>
      <c r="C36" s="49"/>
      <c r="D36" s="49">
        <f t="shared" ref="D36:D51" si="3">C36</f>
        <v>0</v>
      </c>
      <c r="E36" s="45">
        <f t="shared" si="0"/>
        <v>0</v>
      </c>
      <c r="H36" s="35"/>
    </row>
    <row r="37" spans="1:11" ht="15" hidden="1" customHeight="1">
      <c r="A37" s="34" t="s">
        <v>148</v>
      </c>
      <c r="B37" s="34"/>
      <c r="C37" s="49"/>
      <c r="D37" s="49">
        <f t="shared" si="3"/>
        <v>0</v>
      </c>
      <c r="E37" s="45">
        <f t="shared" si="0"/>
        <v>0</v>
      </c>
      <c r="H37" s="35"/>
    </row>
    <row r="38" spans="1:11" ht="15" hidden="1" customHeight="1">
      <c r="A38" s="34" t="s">
        <v>149</v>
      </c>
      <c r="B38" s="34"/>
      <c r="C38" s="49"/>
      <c r="D38" s="49">
        <f t="shared" si="3"/>
        <v>0</v>
      </c>
      <c r="E38" s="45">
        <f t="shared" si="0"/>
        <v>0</v>
      </c>
      <c r="H38" s="35"/>
    </row>
    <row r="39" spans="1:11" ht="31.5" customHeight="1">
      <c r="A39" s="34" t="s">
        <v>150</v>
      </c>
      <c r="B39" s="34" t="s">
        <v>151</v>
      </c>
      <c r="C39" s="49">
        <f>SUM(C40:C44)</f>
        <v>7.1266579110616828</v>
      </c>
      <c r="D39" s="49">
        <f>SUM(D40:D44)</f>
        <v>7.3328540675448366</v>
      </c>
      <c r="E39" s="45">
        <f t="shared" si="0"/>
        <v>12751.942800000001</v>
      </c>
      <c r="H39" s="35">
        <f>SUM(H40:H44)</f>
        <v>16951.885399999999</v>
      </c>
    </row>
    <row r="40" spans="1:11" ht="15">
      <c r="A40" s="34" t="s">
        <v>152</v>
      </c>
      <c r="B40" s="53" t="s">
        <v>106</v>
      </c>
      <c r="C40" s="49">
        <f>H40/$H$8</f>
        <v>4.1091861199443374</v>
      </c>
      <c r="D40" s="49">
        <f>C40*$E$1</f>
        <v>4.2324617035426675</v>
      </c>
      <c r="E40" s="45">
        <f t="shared" si="0"/>
        <v>7352.6900000000005</v>
      </c>
      <c r="H40" s="35">
        <f>'[1]Расчёт ФОТ_Авто_2020'!K38</f>
        <v>7352.6900000000005</v>
      </c>
      <c r="J40" s="45">
        <f>H40</f>
        <v>7352.6900000000005</v>
      </c>
    </row>
    <row r="41" spans="1:11" ht="30">
      <c r="A41" s="34" t="s">
        <v>153</v>
      </c>
      <c r="B41" s="53" t="s">
        <v>109</v>
      </c>
      <c r="C41" s="49">
        <f>ROUND(C40*0.3044,2)</f>
        <v>1.25</v>
      </c>
      <c r="D41" s="49">
        <f>D40*$J$7</f>
        <v>1.2798964191513027</v>
      </c>
      <c r="E41" s="45">
        <f t="shared" si="0"/>
        <v>2236.6624999999999</v>
      </c>
      <c r="H41" s="35">
        <f>ROUND(H40*J7,2)</f>
        <v>2223.4499999999998</v>
      </c>
      <c r="K41" s="54">
        <f>H41</f>
        <v>2223.4499999999998</v>
      </c>
    </row>
    <row r="42" spans="1:11" ht="15">
      <c r="A42" s="34" t="s">
        <v>154</v>
      </c>
      <c r="B42" s="53" t="s">
        <v>155</v>
      </c>
      <c r="C42" s="49">
        <f>H42/$H$8</f>
        <v>0.85747179111734562</v>
      </c>
      <c r="D42" s="49">
        <f t="shared" ref="D42:D44" si="4">C42*$E$1</f>
        <v>0.88319594485086605</v>
      </c>
      <c r="E42" s="45">
        <f>C42*$H$8</f>
        <v>1534.3</v>
      </c>
      <c r="H42" s="51">
        <f>'[1]Расчёт ФОТ_Авто_2020'!F46</f>
        <v>1534.3</v>
      </c>
      <c r="I42" s="49">
        <f>H42</f>
        <v>1534.3</v>
      </c>
    </row>
    <row r="43" spans="1:11" ht="15">
      <c r="A43" s="34" t="s">
        <v>156</v>
      </c>
      <c r="B43" s="53" t="s">
        <v>112</v>
      </c>
      <c r="C43" s="49">
        <f>ROUND((C40+C41)*0.13,2)</f>
        <v>0.7</v>
      </c>
      <c r="D43" s="49">
        <f t="shared" si="4"/>
        <v>0.72099999999999997</v>
      </c>
      <c r="E43" s="45">
        <f t="shared" si="0"/>
        <v>1252.5309999999999</v>
      </c>
      <c r="H43" s="35">
        <f>(H40+H41)*0.19</f>
        <v>1819.4666</v>
      </c>
      <c r="I43" s="49">
        <f>H43</f>
        <v>1819.4666</v>
      </c>
    </row>
    <row r="44" spans="1:11" ht="15">
      <c r="A44" s="34" t="s">
        <v>157</v>
      </c>
      <c r="B44" s="53" t="s">
        <v>115</v>
      </c>
      <c r="C44" s="49">
        <f>ROUND((C40+C41)*0.04,2)</f>
        <v>0.21</v>
      </c>
      <c r="D44" s="49">
        <f t="shared" si="4"/>
        <v>0.21629999999999999</v>
      </c>
      <c r="E44" s="45">
        <f t="shared" si="0"/>
        <v>375.7593</v>
      </c>
      <c r="H44" s="35">
        <f>(H40+H41)*0.42</f>
        <v>4021.9787999999994</v>
      </c>
      <c r="I44" s="49">
        <f>H44</f>
        <v>4021.9787999999994</v>
      </c>
    </row>
    <row r="45" spans="1:11" ht="15">
      <c r="B45" s="56"/>
      <c r="C45" s="57"/>
    </row>
    <row r="46" spans="1:11" ht="15" hidden="1">
      <c r="B46" s="56"/>
      <c r="C46" s="57"/>
      <c r="I46" s="27">
        <f>SUM(I9:I44)</f>
        <v>8618.955899999999</v>
      </c>
      <c r="J46" s="27">
        <f>SUM(J9:J44)</f>
        <v>8917.5300000000007</v>
      </c>
      <c r="K46" s="27">
        <f>SUM(K9:K44)</f>
        <v>2696.66</v>
      </c>
    </row>
    <row r="47" spans="1:11" s="40" customFormat="1" ht="18.75" hidden="1">
      <c r="A47" s="36" t="s">
        <v>84</v>
      </c>
      <c r="B47" s="37"/>
      <c r="C47" s="38" t="s">
        <v>85</v>
      </c>
      <c r="H47" s="58"/>
    </row>
    <row r="48" spans="1:11" s="40" customFormat="1" ht="18.75" hidden="1">
      <c r="A48" s="39" t="s">
        <v>87</v>
      </c>
      <c r="B48" s="39"/>
      <c r="H48" s="58"/>
    </row>
    <row r="49" spans="1:8" s="40" customFormat="1" ht="18.75" hidden="1">
      <c r="A49" s="36"/>
      <c r="B49" s="37"/>
      <c r="C49" s="38"/>
      <c r="H49" s="58"/>
    </row>
    <row r="50" spans="1:8" s="40" customFormat="1" ht="18.75" hidden="1">
      <c r="A50" s="41" t="s">
        <v>88</v>
      </c>
      <c r="B50" s="37"/>
      <c r="C50" s="38" t="s">
        <v>24</v>
      </c>
      <c r="H50" s="58"/>
    </row>
    <row r="51" spans="1:8" s="40" customFormat="1" ht="18.75" hidden="1">
      <c r="A51" s="36" t="s">
        <v>89</v>
      </c>
      <c r="B51" s="37"/>
      <c r="H51" s="58"/>
    </row>
    <row r="52" spans="1:8" s="40" customFormat="1" ht="18.75">
      <c r="A52" s="36"/>
      <c r="B52" s="37"/>
      <c r="C52" s="38"/>
      <c r="H52" s="58"/>
    </row>
    <row r="53" spans="1:8" ht="15.75">
      <c r="A53" s="36"/>
      <c r="B53" s="37"/>
      <c r="C53" s="38"/>
    </row>
  </sheetData>
  <mergeCells count="2">
    <mergeCell ref="A29:A30"/>
    <mergeCell ref="A48:B48"/>
  </mergeCells>
  <pageMargins left="0.51" right="0.19685039370078741" top="0.54" bottom="0.19685039370078741" header="0.31496062992125984" footer="0.51181102362204722"/>
  <pageSetup paperSize="9" fitToHeight="0" orientation="portrait" r:id="rId1"/>
  <headerFooter alignWithMargins="0"/>
  <rowBreaks count="1" manualBreakCount="1">
    <brk id="38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43"/>
  <sheetViews>
    <sheetView workbookViewId="0">
      <selection activeCell="A41" sqref="A41:XFD41"/>
    </sheetView>
  </sheetViews>
  <sheetFormatPr defaultRowHeight="15"/>
  <cols>
    <col min="1" max="1" width="7.28515625" bestFit="1" customWidth="1"/>
    <col min="2" max="2" width="40.85546875" customWidth="1"/>
    <col min="3" max="3" width="15.7109375" customWidth="1"/>
    <col min="4" max="4" width="16.140625" customWidth="1"/>
    <col min="5" max="5" width="17.140625" customWidth="1"/>
    <col min="6" max="6" width="17.140625" hidden="1" customWidth="1"/>
  </cols>
  <sheetData>
    <row r="1" spans="1:6">
      <c r="E1" s="1" t="s">
        <v>291</v>
      </c>
    </row>
    <row r="2" spans="1:6">
      <c r="E2" s="1" t="s">
        <v>1</v>
      </c>
    </row>
    <row r="3" spans="1:6">
      <c r="E3" s="1" t="s">
        <v>2</v>
      </c>
    </row>
    <row r="4" spans="1:6">
      <c r="E4" s="1" t="s">
        <v>3</v>
      </c>
    </row>
    <row r="5" spans="1:6">
      <c r="E5" s="1" t="s">
        <v>4</v>
      </c>
    </row>
    <row r="6" spans="1:6">
      <c r="A6" s="2"/>
    </row>
    <row r="7" spans="1:6">
      <c r="A7" s="3" t="s">
        <v>26</v>
      </c>
      <c r="B7" s="3"/>
      <c r="C7" s="3"/>
      <c r="D7" s="3"/>
      <c r="E7" s="3"/>
      <c r="F7" s="3"/>
    </row>
    <row r="8" spans="1:6">
      <c r="A8" s="3" t="s">
        <v>292</v>
      </c>
      <c r="B8" s="3"/>
      <c r="C8" s="3"/>
      <c r="D8" s="3"/>
      <c r="E8" s="3"/>
      <c r="F8" s="3"/>
    </row>
    <row r="9" spans="1:6">
      <c r="A9" s="3" t="s">
        <v>293</v>
      </c>
      <c r="B9" s="3"/>
      <c r="C9" s="3"/>
      <c r="D9" s="3"/>
      <c r="E9" s="3"/>
      <c r="F9" s="3"/>
    </row>
    <row r="10" spans="1:6">
      <c r="A10" s="3" t="s">
        <v>294</v>
      </c>
      <c r="B10" s="3"/>
      <c r="C10" s="3"/>
      <c r="D10" s="3"/>
      <c r="E10" s="3"/>
      <c r="F10" s="3"/>
    </row>
    <row r="11" spans="1:6">
      <c r="A11" s="3" t="s">
        <v>295</v>
      </c>
      <c r="B11" s="3"/>
      <c r="C11" s="3"/>
      <c r="D11" s="3"/>
      <c r="E11" s="3"/>
      <c r="F11" s="3"/>
    </row>
    <row r="12" spans="1:6" hidden="1">
      <c r="A12" s="2"/>
    </row>
    <row r="13" spans="1:6" hidden="1">
      <c r="A13" s="3" t="s">
        <v>296</v>
      </c>
      <c r="B13" s="3"/>
      <c r="C13" s="3"/>
      <c r="D13" s="3"/>
      <c r="E13" s="3"/>
      <c r="F13" s="3"/>
    </row>
    <row r="14" spans="1:6" hidden="1">
      <c r="A14" s="126" t="s">
        <v>297</v>
      </c>
      <c r="B14" s="126"/>
      <c r="C14" s="126"/>
      <c r="D14" s="126"/>
      <c r="E14" s="126"/>
      <c r="F14" s="126"/>
    </row>
    <row r="15" spans="1:6" hidden="1">
      <c r="A15" s="2"/>
    </row>
    <row r="16" spans="1:6" ht="15.75" thickBot="1">
      <c r="E16" s="1" t="s">
        <v>298</v>
      </c>
    </row>
    <row r="17" spans="1:6" ht="105.75" thickBot="1">
      <c r="A17" s="4" t="s">
        <v>9</v>
      </c>
      <c r="B17" s="4" t="s">
        <v>299</v>
      </c>
      <c r="C17" s="127" t="s">
        <v>300</v>
      </c>
      <c r="D17" s="127" t="s">
        <v>301</v>
      </c>
      <c r="E17" s="127" t="s">
        <v>302</v>
      </c>
      <c r="F17" s="128" t="s">
        <v>302</v>
      </c>
    </row>
    <row r="18" spans="1:6" ht="15.75" thickBot="1">
      <c r="A18" s="8"/>
      <c r="B18" s="8"/>
      <c r="C18" s="9" t="s">
        <v>216</v>
      </c>
      <c r="D18" s="9" t="s">
        <v>194</v>
      </c>
      <c r="E18" s="9" t="s">
        <v>176</v>
      </c>
      <c r="F18" s="129" t="s">
        <v>166</v>
      </c>
    </row>
    <row r="19" spans="1:6" s="12" customFormat="1" ht="12.75" thickBot="1">
      <c r="A19" s="10">
        <v>1</v>
      </c>
      <c r="B19" s="11">
        <v>2</v>
      </c>
      <c r="C19" s="11">
        <v>3</v>
      </c>
      <c r="D19" s="11">
        <v>4</v>
      </c>
      <c r="E19" s="11">
        <v>5</v>
      </c>
      <c r="F19" s="130">
        <v>6</v>
      </c>
    </row>
    <row r="20" spans="1:6" ht="30.75" thickBot="1">
      <c r="A20" s="13" t="s">
        <v>16</v>
      </c>
      <c r="B20" s="14" t="s">
        <v>35</v>
      </c>
      <c r="C20" s="131">
        <f>SUM(C23:C25)</f>
        <v>379.26980000000009</v>
      </c>
      <c r="D20" s="17">
        <v>82.900480000000002</v>
      </c>
      <c r="E20" s="17">
        <v>92.739682306632815</v>
      </c>
      <c r="F20" s="132">
        <v>208.66427782386765</v>
      </c>
    </row>
    <row r="21" spans="1:6" ht="15.75" thickBot="1">
      <c r="A21" s="13" t="s">
        <v>105</v>
      </c>
      <c r="B21" s="14" t="s">
        <v>303</v>
      </c>
      <c r="C21" s="131"/>
      <c r="D21" s="17"/>
      <c r="E21" s="17"/>
      <c r="F21" s="132"/>
    </row>
    <row r="22" spans="1:6" ht="15.75" thickBot="1">
      <c r="A22" s="13" t="s">
        <v>108</v>
      </c>
      <c r="B22" s="14" t="s">
        <v>304</v>
      </c>
      <c r="C22" s="131"/>
      <c r="D22" s="17"/>
      <c r="E22" s="17"/>
      <c r="F22" s="132"/>
    </row>
    <row r="23" spans="1:6" ht="15.75" thickBot="1">
      <c r="A23" s="13" t="s">
        <v>111</v>
      </c>
      <c r="B23" s="14" t="s">
        <v>305</v>
      </c>
      <c r="C23" s="131">
        <f>'[1]Структура затрат 2018'!C21/1000</f>
        <v>176.35256908196934</v>
      </c>
      <c r="D23" s="17">
        <v>50.642946467148789</v>
      </c>
      <c r="E23" s="17">
        <v>56.991220268872816</v>
      </c>
      <c r="F23" s="132">
        <v>128.23024560496381</v>
      </c>
    </row>
    <row r="24" spans="1:6" ht="15.75" thickBot="1">
      <c r="A24" s="13" t="s">
        <v>114</v>
      </c>
      <c r="B24" s="14" t="s">
        <v>306</v>
      </c>
      <c r="C24" s="131">
        <f>'[1]Структура затрат 2018'!C22/1000</f>
        <v>44.045804385337327</v>
      </c>
      <c r="D24" s="17">
        <v>15.425840000000001</v>
      </c>
      <c r="E24" s="17">
        <v>17.234150000000003</v>
      </c>
      <c r="F24" s="132">
        <v>38.776830000000004</v>
      </c>
    </row>
    <row r="25" spans="1:6" ht="15.75" thickBot="1">
      <c r="A25" s="13" t="s">
        <v>307</v>
      </c>
      <c r="B25" s="14" t="s">
        <v>308</v>
      </c>
      <c r="C25" s="131">
        <f>C28</f>
        <v>158.87142653269342</v>
      </c>
      <c r="D25" s="17">
        <v>16.831693532851201</v>
      </c>
      <c r="E25" s="17">
        <v>18.51431203776</v>
      </c>
      <c r="F25" s="132">
        <v>41.657202218903834</v>
      </c>
    </row>
    <row r="26" spans="1:6" ht="30.75" thickBot="1">
      <c r="A26" s="13" t="s">
        <v>309</v>
      </c>
      <c r="B26" s="14" t="s">
        <v>310</v>
      </c>
      <c r="C26" s="131"/>
      <c r="D26" s="17"/>
      <c r="E26" s="17"/>
      <c r="F26" s="132"/>
    </row>
    <row r="27" spans="1:6" ht="45.75" thickBot="1">
      <c r="A27" s="13" t="s">
        <v>311</v>
      </c>
      <c r="B27" s="14" t="s">
        <v>312</v>
      </c>
      <c r="C27" s="131"/>
      <c r="D27" s="17"/>
      <c r="E27" s="17"/>
      <c r="F27" s="132"/>
    </row>
    <row r="28" spans="1:6" ht="30.75" thickBot="1">
      <c r="A28" s="13" t="s">
        <v>313</v>
      </c>
      <c r="B28" s="14" t="s">
        <v>314</v>
      </c>
      <c r="C28" s="131">
        <f>C33</f>
        <v>158.87142653269342</v>
      </c>
      <c r="D28" s="17">
        <v>16.831693532851201</v>
      </c>
      <c r="E28" s="17">
        <v>18.51431203776</v>
      </c>
      <c r="F28" s="132">
        <v>41.657202218903834</v>
      </c>
    </row>
    <row r="29" spans="1:6" ht="15.75" thickBot="1">
      <c r="A29" s="13" t="s">
        <v>52</v>
      </c>
      <c r="B29" s="14" t="s">
        <v>315</v>
      </c>
      <c r="C29" s="131"/>
      <c r="D29" s="17"/>
      <c r="E29" s="17"/>
      <c r="F29" s="132"/>
    </row>
    <row r="30" spans="1:6" ht="30.75" thickBot="1">
      <c r="A30" s="13" t="s">
        <v>54</v>
      </c>
      <c r="B30" s="14" t="s">
        <v>316</v>
      </c>
      <c r="C30" s="131"/>
      <c r="D30" s="17"/>
      <c r="E30" s="17"/>
      <c r="F30" s="132"/>
    </row>
    <row r="31" spans="1:6" ht="60.75" thickBot="1">
      <c r="A31" s="13" t="s">
        <v>56</v>
      </c>
      <c r="B31" s="14" t="s">
        <v>317</v>
      </c>
      <c r="C31" s="131"/>
      <c r="D31" s="17"/>
      <c r="E31" s="17"/>
      <c r="F31" s="132"/>
    </row>
    <row r="32" spans="1:6" ht="15.75" thickBot="1">
      <c r="A32" s="13" t="s">
        <v>58</v>
      </c>
      <c r="B32" s="14" t="s">
        <v>318</v>
      </c>
      <c r="C32" s="131"/>
      <c r="D32" s="17"/>
      <c r="E32" s="17"/>
      <c r="F32" s="132"/>
    </row>
    <row r="33" spans="1:6" ht="30.75" thickBot="1">
      <c r="A33" s="13" t="s">
        <v>60</v>
      </c>
      <c r="B33" s="14" t="s">
        <v>61</v>
      </c>
      <c r="C33" s="131">
        <f>('[1]Структура затрат 2018'!C23+'[1]Структура затрат 2018'!C24+'[1]Структура затрат 2018'!C25)/1000</f>
        <v>158.87142653269342</v>
      </c>
      <c r="D33" s="17">
        <v>16.831693532851201</v>
      </c>
      <c r="E33" s="17">
        <v>18.51431203776</v>
      </c>
      <c r="F33" s="132">
        <v>41.657202218903834</v>
      </c>
    </row>
    <row r="34" spans="1:6" ht="15.75" thickBot="1">
      <c r="A34" s="13" t="s">
        <v>319</v>
      </c>
      <c r="B34" s="14" t="s">
        <v>320</v>
      </c>
      <c r="C34" s="14"/>
      <c r="D34" s="14"/>
      <c r="E34" s="14"/>
      <c r="F34" s="133"/>
    </row>
    <row r="35" spans="1:6" ht="15.75" thickBot="1">
      <c r="A35" s="13" t="s">
        <v>321</v>
      </c>
      <c r="B35" s="14" t="s">
        <v>322</v>
      </c>
      <c r="C35" s="14"/>
      <c r="D35" s="14"/>
      <c r="E35" s="14"/>
      <c r="F35" s="133"/>
    </row>
    <row r="36" spans="1:6" ht="15.75" thickBot="1">
      <c r="A36" s="13" t="s">
        <v>323</v>
      </c>
      <c r="B36" s="14" t="s">
        <v>324</v>
      </c>
      <c r="C36" s="14"/>
      <c r="D36" s="14"/>
      <c r="E36" s="14"/>
      <c r="F36" s="133"/>
    </row>
    <row r="37" spans="1:6" ht="15.75" thickBot="1">
      <c r="A37" s="13" t="s">
        <v>325</v>
      </c>
      <c r="B37" s="14" t="s">
        <v>326</v>
      </c>
      <c r="C37" s="14"/>
      <c r="D37" s="14"/>
      <c r="E37" s="14"/>
      <c r="F37" s="133"/>
    </row>
    <row r="38" spans="1:6" ht="30.75" thickBot="1">
      <c r="A38" s="13" t="s">
        <v>327</v>
      </c>
      <c r="B38" s="14" t="s">
        <v>328</v>
      </c>
      <c r="C38" s="14"/>
      <c r="D38" s="14"/>
      <c r="E38" s="14"/>
      <c r="F38" s="133"/>
    </row>
    <row r="39" spans="1:6">
      <c r="A39" s="2"/>
    </row>
    <row r="40" spans="1:6">
      <c r="A40" s="2"/>
    </row>
    <row r="41" spans="1:6" hidden="1">
      <c r="B41" s="25" t="s">
        <v>23</v>
      </c>
      <c r="C41" s="25"/>
      <c r="D41" s="24"/>
      <c r="E41" s="26" t="s">
        <v>24</v>
      </c>
    </row>
    <row r="42" spans="1:6">
      <c r="A42" s="2"/>
    </row>
    <row r="43" spans="1:6">
      <c r="A43" s="2"/>
    </row>
  </sheetData>
  <mergeCells count="9">
    <mergeCell ref="A14:F14"/>
    <mergeCell ref="A17:A18"/>
    <mergeCell ref="B17:B18"/>
    <mergeCell ref="A7:F7"/>
    <mergeCell ref="A8:F8"/>
    <mergeCell ref="A9:F9"/>
    <mergeCell ref="A10:F10"/>
    <mergeCell ref="A11:F11"/>
    <mergeCell ref="A13:F13"/>
  </mergeCells>
  <pageMargins left="0.7" right="0.17" top="0.32" bottom="0.17" header="0.3" footer="0.3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65"/>
  <sheetViews>
    <sheetView view="pageBreakPreview" zoomScale="85" zoomScaleNormal="100" zoomScaleSheetLayoutView="85" workbookViewId="0">
      <selection activeCell="K55" sqref="K55"/>
    </sheetView>
  </sheetViews>
  <sheetFormatPr defaultColWidth="9.140625" defaultRowHeight="15"/>
  <cols>
    <col min="1" max="1" width="4.5703125" style="60" customWidth="1"/>
    <col min="2" max="2" width="37" style="60" customWidth="1"/>
    <col min="3" max="3" width="31.7109375" style="60" customWidth="1"/>
    <col min="4" max="4" width="14.42578125" style="60" customWidth="1"/>
    <col min="5" max="5" width="18.28515625" style="60" customWidth="1"/>
    <col min="6" max="6" width="15.42578125" style="60" customWidth="1"/>
    <col min="7" max="7" width="13.5703125" style="60" customWidth="1"/>
    <col min="8" max="16384" width="9.140625" style="60"/>
  </cols>
  <sheetData>
    <row r="1" spans="1:7" ht="15.75">
      <c r="A1" s="59" t="s">
        <v>158</v>
      </c>
      <c r="B1" s="59"/>
      <c r="C1" s="59"/>
      <c r="D1" s="59"/>
      <c r="E1" s="59"/>
      <c r="F1" s="59"/>
      <c r="G1" s="59"/>
    </row>
    <row r="3" spans="1:7">
      <c r="A3" s="61" t="s">
        <v>159</v>
      </c>
      <c r="B3" s="61" t="s">
        <v>160</v>
      </c>
      <c r="C3" s="61" t="s">
        <v>161</v>
      </c>
      <c r="D3" s="61" t="s">
        <v>162</v>
      </c>
      <c r="E3" s="62" t="s">
        <v>163</v>
      </c>
      <c r="F3" s="62"/>
      <c r="G3" s="61" t="s">
        <v>164</v>
      </c>
    </row>
    <row r="4" spans="1:7">
      <c r="A4" s="61"/>
      <c r="B4" s="61"/>
      <c r="C4" s="61"/>
      <c r="D4" s="61"/>
      <c r="E4" s="63" t="s">
        <v>165</v>
      </c>
      <c r="F4" s="63" t="s">
        <v>86</v>
      </c>
      <c r="G4" s="61"/>
    </row>
    <row r="5" spans="1:7" hidden="1">
      <c r="A5" s="64" t="s">
        <v>166</v>
      </c>
      <c r="B5" s="65"/>
      <c r="C5" s="65"/>
      <c r="D5" s="65"/>
      <c r="E5" s="65"/>
      <c r="F5" s="65"/>
      <c r="G5" s="66"/>
    </row>
    <row r="6" spans="1:7" hidden="1">
      <c r="A6" s="67">
        <v>1</v>
      </c>
      <c r="B6" s="68" t="s">
        <v>167</v>
      </c>
      <c r="C6" s="69" t="s">
        <v>168</v>
      </c>
      <c r="D6" s="70">
        <v>350</v>
      </c>
      <c r="E6" s="70">
        <v>4060</v>
      </c>
      <c r="F6" s="71">
        <f t="shared" ref="F6:F9" si="0">E6*1.18</f>
        <v>4790.8</v>
      </c>
      <c r="G6" s="67"/>
    </row>
    <row r="7" spans="1:7" hidden="1">
      <c r="A7" s="67">
        <v>2</v>
      </c>
      <c r="B7" s="68" t="s">
        <v>169</v>
      </c>
      <c r="C7" s="72" t="s">
        <v>170</v>
      </c>
      <c r="D7" s="70">
        <v>6000</v>
      </c>
      <c r="E7" s="70">
        <v>76200</v>
      </c>
      <c r="F7" s="71">
        <f t="shared" si="0"/>
        <v>89916</v>
      </c>
      <c r="G7" s="67"/>
    </row>
    <row r="8" spans="1:7" hidden="1">
      <c r="A8" s="67">
        <v>3</v>
      </c>
      <c r="B8" s="68" t="s">
        <v>171</v>
      </c>
      <c r="C8" s="69" t="s">
        <v>172</v>
      </c>
      <c r="D8" s="70">
        <v>4968</v>
      </c>
      <c r="E8" s="70">
        <v>63093.599999999999</v>
      </c>
      <c r="F8" s="71">
        <f t="shared" si="0"/>
        <v>74450.447999999989</v>
      </c>
      <c r="G8" s="67"/>
    </row>
    <row r="9" spans="1:7" hidden="1">
      <c r="A9" s="67">
        <v>4</v>
      </c>
      <c r="B9" s="68" t="s">
        <v>173</v>
      </c>
      <c r="C9" s="69" t="s">
        <v>174</v>
      </c>
      <c r="D9" s="70">
        <v>1000</v>
      </c>
      <c r="E9" s="70">
        <v>12700</v>
      </c>
      <c r="F9" s="71">
        <f t="shared" si="0"/>
        <v>14986</v>
      </c>
      <c r="G9" s="67"/>
    </row>
    <row r="10" spans="1:7" hidden="1">
      <c r="A10" s="73"/>
      <c r="B10" s="74" t="s">
        <v>175</v>
      </c>
      <c r="C10" s="75"/>
      <c r="D10" s="76">
        <f>SUM(D6:D9)</f>
        <v>12318</v>
      </c>
      <c r="E10" s="76">
        <f>SUM(E6:E9)</f>
        <v>156053.6</v>
      </c>
      <c r="F10" s="76">
        <f>SUM(F6:F9)</f>
        <v>184143.24799999999</v>
      </c>
      <c r="G10" s="73"/>
    </row>
    <row r="11" spans="1:7">
      <c r="A11" s="64" t="s">
        <v>176</v>
      </c>
      <c r="B11" s="65"/>
      <c r="C11" s="65"/>
      <c r="D11" s="65"/>
      <c r="E11" s="65"/>
      <c r="F11" s="65"/>
      <c r="G11" s="66"/>
    </row>
    <row r="12" spans="1:7">
      <c r="A12" s="77">
        <v>1</v>
      </c>
      <c r="B12" s="68" t="s">
        <v>177</v>
      </c>
      <c r="C12" s="78" t="s">
        <v>178</v>
      </c>
      <c r="D12" s="70">
        <v>10000</v>
      </c>
      <c r="E12" s="79">
        <f>F12/1.18</f>
        <v>24329.830508474577</v>
      </c>
      <c r="F12" s="79">
        <v>28709.200000000001</v>
      </c>
      <c r="G12" s="77"/>
    </row>
    <row r="13" spans="1:7">
      <c r="A13" s="67">
        <v>2</v>
      </c>
      <c r="B13" s="68" t="s">
        <v>179</v>
      </c>
      <c r="C13" s="78" t="s">
        <v>180</v>
      </c>
      <c r="D13" s="70">
        <v>1600</v>
      </c>
      <c r="E13" s="70">
        <f>F13/1.18</f>
        <v>7520.0000000000009</v>
      </c>
      <c r="F13" s="71">
        <v>8873.6</v>
      </c>
      <c r="G13" s="67"/>
    </row>
    <row r="14" spans="1:7" ht="30">
      <c r="A14" s="77">
        <v>3</v>
      </c>
      <c r="B14" s="68" t="s">
        <v>181</v>
      </c>
      <c r="C14" s="78" t="s">
        <v>182</v>
      </c>
      <c r="D14" s="70">
        <v>4900</v>
      </c>
      <c r="E14" s="70">
        <v>23030</v>
      </c>
      <c r="F14" s="71">
        <f t="shared" ref="F14:F17" si="1">E14*1.18</f>
        <v>27175.399999999998</v>
      </c>
      <c r="G14" s="67"/>
    </row>
    <row r="15" spans="1:7">
      <c r="A15" s="67">
        <v>4</v>
      </c>
      <c r="B15" s="68" t="s">
        <v>183</v>
      </c>
      <c r="C15" s="78" t="s">
        <v>184</v>
      </c>
      <c r="D15" s="70">
        <v>0.65217391304347827</v>
      </c>
      <c r="E15" s="70">
        <f>F15/1.18</f>
        <v>81143.016949152545</v>
      </c>
      <c r="F15" s="71">
        <v>95748.76</v>
      </c>
      <c r="G15" s="67"/>
    </row>
    <row r="16" spans="1:7" ht="30">
      <c r="A16" s="77">
        <v>5</v>
      </c>
      <c r="B16" s="68" t="s">
        <v>181</v>
      </c>
      <c r="C16" s="78" t="s">
        <v>185</v>
      </c>
      <c r="D16" s="70">
        <v>1.3888333333333334</v>
      </c>
      <c r="E16" s="70">
        <f>F16/1.18</f>
        <v>24743.016949152541</v>
      </c>
      <c r="F16" s="71">
        <v>29196.76</v>
      </c>
      <c r="G16" s="67"/>
    </row>
    <row r="17" spans="1:7">
      <c r="A17" s="67">
        <v>6</v>
      </c>
      <c r="B17" s="68" t="s">
        <v>186</v>
      </c>
      <c r="C17" s="80" t="s">
        <v>187</v>
      </c>
      <c r="D17" s="70">
        <v>160</v>
      </c>
      <c r="E17" s="70">
        <v>691.2</v>
      </c>
      <c r="F17" s="71">
        <f t="shared" si="1"/>
        <v>815.61599999999999</v>
      </c>
      <c r="G17" s="67" t="s">
        <v>188</v>
      </c>
    </row>
    <row r="18" spans="1:7">
      <c r="A18" s="77">
        <v>7</v>
      </c>
      <c r="B18" s="68" t="s">
        <v>189</v>
      </c>
      <c r="C18" s="78" t="s">
        <v>190</v>
      </c>
      <c r="D18" s="70">
        <v>500</v>
      </c>
      <c r="E18" s="70">
        <f>F18/1.18</f>
        <v>2350</v>
      </c>
      <c r="F18" s="71">
        <v>2773</v>
      </c>
      <c r="G18" s="67"/>
    </row>
    <row r="19" spans="1:7">
      <c r="A19" s="67">
        <v>8</v>
      </c>
      <c r="B19" s="68" t="s">
        <v>191</v>
      </c>
      <c r="C19" s="78" t="s">
        <v>192</v>
      </c>
      <c r="D19" s="70">
        <v>250</v>
      </c>
      <c r="E19" s="70">
        <f>F19/1.18</f>
        <v>1080.0000000000002</v>
      </c>
      <c r="F19" s="71">
        <v>1274.4000000000001</v>
      </c>
      <c r="G19" s="67"/>
    </row>
    <row r="20" spans="1:7">
      <c r="A20" s="73"/>
      <c r="B20" s="74" t="s">
        <v>193</v>
      </c>
      <c r="C20" s="75"/>
      <c r="D20" s="76">
        <f>SUM(D12:D19)</f>
        <v>17412.041007246378</v>
      </c>
      <c r="E20" s="76">
        <f t="shared" ref="E20:F20" si="2">SUM(E12:E19)</f>
        <v>164887.06440677968</v>
      </c>
      <c r="F20" s="76">
        <f t="shared" si="2"/>
        <v>194566.736</v>
      </c>
      <c r="G20" s="73"/>
    </row>
    <row r="21" spans="1:7">
      <c r="A21" s="64" t="s">
        <v>194</v>
      </c>
      <c r="B21" s="65"/>
      <c r="C21" s="65"/>
      <c r="D21" s="65"/>
      <c r="E21" s="65"/>
      <c r="F21" s="65"/>
      <c r="G21" s="66"/>
    </row>
    <row r="22" spans="1:7" ht="22.5" customHeight="1">
      <c r="A22" s="67">
        <v>1</v>
      </c>
      <c r="B22" s="68" t="s">
        <v>195</v>
      </c>
      <c r="C22" s="81" t="s">
        <v>196</v>
      </c>
      <c r="D22" s="70">
        <v>20</v>
      </c>
      <c r="E22" s="70">
        <f>F22/1.18</f>
        <v>115.60169491525424</v>
      </c>
      <c r="F22" s="71">
        <v>136.41</v>
      </c>
      <c r="G22" s="67"/>
    </row>
    <row r="23" spans="1:7" ht="22.5" customHeight="1">
      <c r="A23" s="67">
        <v>2</v>
      </c>
      <c r="B23" s="68" t="s">
        <v>197</v>
      </c>
      <c r="C23" s="81" t="s">
        <v>198</v>
      </c>
      <c r="D23" s="70">
        <v>200</v>
      </c>
      <c r="E23" s="70">
        <f t="shared" ref="E23:E31" si="3">F23/1.18</f>
        <v>1156</v>
      </c>
      <c r="F23" s="71">
        <v>1364.08</v>
      </c>
      <c r="G23" s="67" t="s">
        <v>188</v>
      </c>
    </row>
    <row r="24" spans="1:7" ht="22.5" customHeight="1">
      <c r="A24" s="67">
        <v>3</v>
      </c>
      <c r="B24" s="68" t="s">
        <v>199</v>
      </c>
      <c r="C24" s="81" t="s">
        <v>200</v>
      </c>
      <c r="D24" s="70">
        <v>4700</v>
      </c>
      <c r="E24" s="70">
        <f t="shared" si="3"/>
        <v>27824</v>
      </c>
      <c r="F24" s="71">
        <v>32832.32</v>
      </c>
      <c r="G24" s="67"/>
    </row>
    <row r="25" spans="1:7" ht="22.5" customHeight="1">
      <c r="A25" s="67">
        <v>4</v>
      </c>
      <c r="B25" s="68" t="s">
        <v>201</v>
      </c>
      <c r="C25" s="81" t="s">
        <v>202</v>
      </c>
      <c r="D25" s="70">
        <v>2500</v>
      </c>
      <c r="E25" s="70">
        <f t="shared" si="3"/>
        <v>14800</v>
      </c>
      <c r="F25" s="71">
        <v>17464</v>
      </c>
      <c r="G25" s="67"/>
    </row>
    <row r="26" spans="1:7" ht="22.5" customHeight="1">
      <c r="A26" s="67">
        <v>5</v>
      </c>
      <c r="B26" s="68" t="s">
        <v>203</v>
      </c>
      <c r="C26" s="81" t="s">
        <v>204</v>
      </c>
      <c r="D26" s="70">
        <v>750</v>
      </c>
      <c r="E26" s="70">
        <f t="shared" si="3"/>
        <v>4440</v>
      </c>
      <c r="F26" s="71">
        <v>5239.2</v>
      </c>
      <c r="G26" s="67"/>
    </row>
    <row r="27" spans="1:7" ht="22.5" customHeight="1">
      <c r="A27" s="67">
        <v>6</v>
      </c>
      <c r="B27" s="68" t="s">
        <v>205</v>
      </c>
      <c r="C27" s="81" t="s">
        <v>206</v>
      </c>
      <c r="D27" s="70">
        <v>320</v>
      </c>
      <c r="E27" s="70">
        <f t="shared" si="3"/>
        <v>1849.6016949152545</v>
      </c>
      <c r="F27" s="71">
        <v>2182.5300000000002</v>
      </c>
      <c r="G27" s="67" t="s">
        <v>188</v>
      </c>
    </row>
    <row r="28" spans="1:7" ht="22.5" customHeight="1">
      <c r="A28" s="67">
        <v>7</v>
      </c>
      <c r="B28" s="68" t="s">
        <v>207</v>
      </c>
      <c r="C28" s="81" t="s">
        <v>208</v>
      </c>
      <c r="D28" s="70">
        <v>4990</v>
      </c>
      <c r="E28" s="70">
        <f t="shared" si="3"/>
        <v>29540.796610169491</v>
      </c>
      <c r="F28" s="71">
        <v>34858.14</v>
      </c>
      <c r="G28" s="67"/>
    </row>
    <row r="29" spans="1:7" ht="22.5" customHeight="1">
      <c r="A29" s="67">
        <v>8</v>
      </c>
      <c r="B29" s="68" t="s">
        <v>209</v>
      </c>
      <c r="C29" s="81" t="s">
        <v>210</v>
      </c>
      <c r="D29" s="70">
        <v>40</v>
      </c>
      <c r="E29" s="70">
        <f t="shared" si="3"/>
        <v>231.20338983050848</v>
      </c>
      <c r="F29" s="71">
        <v>272.82</v>
      </c>
      <c r="G29" s="67" t="s">
        <v>188</v>
      </c>
    </row>
    <row r="30" spans="1:7" ht="22.5" customHeight="1">
      <c r="A30" s="67">
        <v>9</v>
      </c>
      <c r="B30" s="68" t="s">
        <v>211</v>
      </c>
      <c r="C30" s="81" t="s">
        <v>212</v>
      </c>
      <c r="D30" s="70">
        <v>190</v>
      </c>
      <c r="E30" s="70">
        <f t="shared" si="3"/>
        <v>1098.2033898305085</v>
      </c>
      <c r="F30" s="71">
        <v>1295.8800000000001</v>
      </c>
      <c r="G30" s="67"/>
    </row>
    <row r="31" spans="1:7" ht="22.5" customHeight="1">
      <c r="A31" s="67">
        <v>10</v>
      </c>
      <c r="B31" s="68" t="s">
        <v>213</v>
      </c>
      <c r="C31" s="81" t="s">
        <v>214</v>
      </c>
      <c r="D31" s="70">
        <v>1983</v>
      </c>
      <c r="E31" s="70">
        <f t="shared" si="3"/>
        <v>11739.355932203391</v>
      </c>
      <c r="F31" s="71">
        <v>13852.44</v>
      </c>
      <c r="G31" s="67"/>
    </row>
    <row r="32" spans="1:7" s="82" customFormat="1" ht="22.5" customHeight="1">
      <c r="A32" s="73"/>
      <c r="B32" s="74" t="s">
        <v>215</v>
      </c>
      <c r="C32" s="75"/>
      <c r="D32" s="76">
        <f>SUM(D22:D31)</f>
        <v>15693</v>
      </c>
      <c r="E32" s="76">
        <f>SUM(E22:E31)</f>
        <v>92794.762711864401</v>
      </c>
      <c r="F32" s="76">
        <f>SUM(F22:F31)</f>
        <v>109497.82</v>
      </c>
      <c r="G32" s="73"/>
    </row>
    <row r="33" spans="1:7" s="82" customFormat="1" ht="23.25" customHeight="1">
      <c r="A33" s="83" t="s">
        <v>216</v>
      </c>
      <c r="B33" s="84"/>
      <c r="C33" s="84"/>
      <c r="D33" s="84"/>
      <c r="E33" s="84"/>
      <c r="F33" s="84"/>
      <c r="G33" s="85"/>
    </row>
    <row r="34" spans="1:7" s="82" customFormat="1" ht="22.5" customHeight="1">
      <c r="A34" s="67">
        <v>1</v>
      </c>
      <c r="B34" s="68" t="s">
        <v>217</v>
      </c>
      <c r="C34" s="81" t="s">
        <v>218</v>
      </c>
      <c r="D34" s="70">
        <v>4990</v>
      </c>
      <c r="E34" s="86">
        <f>F34/1.18</f>
        <v>19602</v>
      </c>
      <c r="F34" s="87">
        <v>23130.36</v>
      </c>
      <c r="G34" s="73"/>
    </row>
    <row r="35" spans="1:7" s="82" customFormat="1" ht="22.5" customHeight="1">
      <c r="A35" s="67">
        <v>2</v>
      </c>
      <c r="B35" s="68" t="s">
        <v>219</v>
      </c>
      <c r="C35" s="81" t="s">
        <v>220</v>
      </c>
      <c r="D35" s="70">
        <v>3800</v>
      </c>
      <c r="E35" s="86">
        <f>F35/1.18</f>
        <v>19602</v>
      </c>
      <c r="F35" s="87">
        <v>23130.36</v>
      </c>
      <c r="G35" s="73"/>
    </row>
    <row r="36" spans="1:7" s="82" customFormat="1" ht="22.5" customHeight="1">
      <c r="A36" s="67">
        <v>3</v>
      </c>
      <c r="B36" s="68" t="s">
        <v>221</v>
      </c>
      <c r="C36" s="81" t="s">
        <v>222</v>
      </c>
      <c r="D36" s="70">
        <v>150</v>
      </c>
      <c r="E36" s="86">
        <f t="shared" ref="E36:E38" si="4">F36/1.18</f>
        <v>14645</v>
      </c>
      <c r="F36" s="87">
        <v>17281.099999999999</v>
      </c>
      <c r="G36" s="67" t="s">
        <v>188</v>
      </c>
    </row>
    <row r="37" spans="1:7" ht="30">
      <c r="A37" s="67">
        <v>4</v>
      </c>
      <c r="B37" s="68" t="s">
        <v>223</v>
      </c>
      <c r="C37" s="81" t="s">
        <v>224</v>
      </c>
      <c r="D37" s="70">
        <v>300</v>
      </c>
      <c r="E37" s="86">
        <f t="shared" si="4"/>
        <v>14645</v>
      </c>
      <c r="F37" s="87">
        <v>17281.099999999999</v>
      </c>
      <c r="G37" s="67" t="s">
        <v>188</v>
      </c>
    </row>
    <row r="38" spans="1:7" ht="22.5" customHeight="1">
      <c r="A38" s="67">
        <v>5</v>
      </c>
      <c r="B38" s="68" t="s">
        <v>225</v>
      </c>
      <c r="C38" s="81" t="s">
        <v>226</v>
      </c>
      <c r="D38" s="70">
        <v>300</v>
      </c>
      <c r="E38" s="86">
        <f t="shared" si="4"/>
        <v>14645</v>
      </c>
      <c r="F38" s="87">
        <v>17281.099999999999</v>
      </c>
      <c r="G38" s="67" t="s">
        <v>188</v>
      </c>
    </row>
    <row r="39" spans="1:7" ht="22.5" customHeight="1">
      <c r="A39" s="67">
        <v>6</v>
      </c>
      <c r="B39" s="68" t="s">
        <v>227</v>
      </c>
      <c r="C39" s="81" t="s">
        <v>228</v>
      </c>
      <c r="D39" s="70">
        <v>8000</v>
      </c>
      <c r="E39" s="86">
        <f>F39/1.18</f>
        <v>19602</v>
      </c>
      <c r="F39" s="87">
        <v>23130.36</v>
      </c>
      <c r="G39" s="67"/>
    </row>
    <row r="40" spans="1:7" ht="22.5" customHeight="1">
      <c r="A40" s="67">
        <v>7</v>
      </c>
      <c r="B40" s="68" t="s">
        <v>229</v>
      </c>
      <c r="C40" s="81" t="s">
        <v>230</v>
      </c>
      <c r="D40" s="70">
        <v>300</v>
      </c>
      <c r="E40" s="86">
        <f t="shared" ref="E40:E45" si="5">F40/1.18</f>
        <v>14645</v>
      </c>
      <c r="F40" s="87">
        <v>17281.099999999999</v>
      </c>
      <c r="G40" s="67" t="s">
        <v>188</v>
      </c>
    </row>
    <row r="41" spans="1:7" ht="22.5" customHeight="1">
      <c r="A41" s="67">
        <v>8</v>
      </c>
      <c r="B41" s="68" t="s">
        <v>231</v>
      </c>
      <c r="C41" s="81" t="s">
        <v>232</v>
      </c>
      <c r="D41" s="70">
        <v>660</v>
      </c>
      <c r="E41" s="86">
        <f t="shared" si="5"/>
        <v>14645</v>
      </c>
      <c r="F41" s="87">
        <v>17281.099999999999</v>
      </c>
      <c r="G41" s="67" t="s">
        <v>188</v>
      </c>
    </row>
    <row r="42" spans="1:7" ht="22.5" customHeight="1">
      <c r="A42" s="67">
        <v>9</v>
      </c>
      <c r="B42" s="68" t="s">
        <v>231</v>
      </c>
      <c r="C42" s="81" t="s">
        <v>233</v>
      </c>
      <c r="D42" s="70">
        <v>2060</v>
      </c>
      <c r="E42" s="86">
        <f t="shared" si="5"/>
        <v>14645</v>
      </c>
      <c r="F42" s="87">
        <v>17281.099999999999</v>
      </c>
      <c r="G42" s="67" t="s">
        <v>188</v>
      </c>
    </row>
    <row r="43" spans="1:7" ht="22.5" customHeight="1">
      <c r="A43" s="67">
        <v>10</v>
      </c>
      <c r="B43" s="68" t="s">
        <v>231</v>
      </c>
      <c r="C43" s="81" t="s">
        <v>234</v>
      </c>
      <c r="D43" s="70">
        <v>5</v>
      </c>
      <c r="E43" s="86">
        <f t="shared" si="5"/>
        <v>14645</v>
      </c>
      <c r="F43" s="87">
        <v>17281.099999999999</v>
      </c>
      <c r="G43" s="67"/>
    </row>
    <row r="44" spans="1:7" ht="22.5" customHeight="1">
      <c r="A44" s="67">
        <v>11</v>
      </c>
      <c r="B44" s="68" t="s">
        <v>231</v>
      </c>
      <c r="C44" s="81" t="s">
        <v>235</v>
      </c>
      <c r="D44" s="70">
        <v>5</v>
      </c>
      <c r="E44" s="86">
        <f t="shared" si="5"/>
        <v>14645</v>
      </c>
      <c r="F44" s="87">
        <v>17281.099999999999</v>
      </c>
      <c r="G44" s="67"/>
    </row>
    <row r="45" spans="1:7" ht="22.5" customHeight="1">
      <c r="A45" s="67">
        <v>12</v>
      </c>
      <c r="B45" s="68" t="s">
        <v>231</v>
      </c>
      <c r="C45" s="81" t="s">
        <v>236</v>
      </c>
      <c r="D45" s="70">
        <v>5</v>
      </c>
      <c r="E45" s="86">
        <f t="shared" si="5"/>
        <v>14645</v>
      </c>
      <c r="F45" s="87">
        <v>17281.099999999999</v>
      </c>
      <c r="G45" s="67"/>
    </row>
    <row r="46" spans="1:7" ht="22.5" customHeight="1">
      <c r="A46" s="73"/>
      <c r="B46" s="74" t="s">
        <v>237</v>
      </c>
      <c r="C46" s="75"/>
      <c r="D46" s="88">
        <f>SUM(D34:D45)</f>
        <v>20575</v>
      </c>
      <c r="E46" s="88">
        <f>SUM(E34:E45)</f>
        <v>190611</v>
      </c>
      <c r="F46" s="88">
        <f>SUM(F34:F45)</f>
        <v>224920.98</v>
      </c>
      <c r="G46" s="73"/>
    </row>
    <row r="48" spans="1:7">
      <c r="A48" s="83" t="s">
        <v>238</v>
      </c>
      <c r="B48" s="84"/>
      <c r="C48" s="84"/>
      <c r="D48" s="84"/>
      <c r="E48" s="84"/>
      <c r="F48" s="84"/>
      <c r="G48" s="85"/>
    </row>
    <row r="49" spans="1:7">
      <c r="A49" s="67">
        <v>1</v>
      </c>
      <c r="B49" s="68" t="s">
        <v>239</v>
      </c>
      <c r="C49" s="81" t="s">
        <v>240</v>
      </c>
      <c r="D49" s="70">
        <v>5</v>
      </c>
      <c r="E49" s="86">
        <f>F49/1.2</f>
        <v>19708</v>
      </c>
      <c r="F49" s="87">
        <v>23649.599999999999</v>
      </c>
      <c r="G49" s="73"/>
    </row>
    <row r="50" spans="1:7">
      <c r="A50" s="67">
        <v>2</v>
      </c>
      <c r="B50" s="68" t="s">
        <v>239</v>
      </c>
      <c r="C50" s="81" t="s">
        <v>241</v>
      </c>
      <c r="D50" s="70">
        <v>5</v>
      </c>
      <c r="E50" s="86">
        <f>F50/1.2</f>
        <v>19708</v>
      </c>
      <c r="F50" s="87">
        <v>23649.599999999999</v>
      </c>
      <c r="G50" s="73"/>
    </row>
    <row r="51" spans="1:7">
      <c r="A51" s="73"/>
      <c r="B51" s="74" t="s">
        <v>242</v>
      </c>
      <c r="C51" s="75"/>
      <c r="D51" s="88">
        <f>SUM(D49:D50)</f>
        <v>10</v>
      </c>
      <c r="E51" s="88">
        <f t="shared" ref="E51:F51" si="6">SUM(E49:E50)</f>
        <v>39416</v>
      </c>
      <c r="F51" s="88">
        <f t="shared" si="6"/>
        <v>47299.199999999997</v>
      </c>
      <c r="G51" s="73"/>
    </row>
    <row r="52" spans="1:7">
      <c r="D52" s="89"/>
    </row>
    <row r="53" spans="1:7">
      <c r="A53" s="90" t="s">
        <v>243</v>
      </c>
      <c r="B53" s="90"/>
      <c r="C53" s="90"/>
      <c r="D53" s="90"/>
      <c r="E53" s="90"/>
      <c r="F53" s="90"/>
      <c r="G53" s="90"/>
    </row>
    <row r="54" spans="1:7">
      <c r="A54" s="61" t="s">
        <v>244</v>
      </c>
      <c r="B54" s="61" t="s">
        <v>245</v>
      </c>
      <c r="C54" s="61" t="s">
        <v>246</v>
      </c>
      <c r="D54" s="61" t="s">
        <v>162</v>
      </c>
      <c r="E54" s="91" t="s">
        <v>163</v>
      </c>
      <c r="F54" s="91"/>
      <c r="G54" s="61" t="s">
        <v>164</v>
      </c>
    </row>
    <row r="55" spans="1:7" ht="16.5" customHeight="1">
      <c r="A55" s="61"/>
      <c r="B55" s="61"/>
      <c r="C55" s="61"/>
      <c r="D55" s="61"/>
      <c r="E55" s="63" t="s">
        <v>165</v>
      </c>
      <c r="F55" s="63" t="s">
        <v>86</v>
      </c>
      <c r="G55" s="61"/>
    </row>
    <row r="56" spans="1:7" ht="22.5" customHeight="1">
      <c r="A56" s="67">
        <v>1</v>
      </c>
      <c r="B56" s="92" t="s">
        <v>176</v>
      </c>
      <c r="C56" s="67">
        <f>A19</f>
        <v>8</v>
      </c>
      <c r="D56" s="70">
        <f>D20</f>
        <v>17412.041007246378</v>
      </c>
      <c r="E56" s="70">
        <f>E20</f>
        <v>164887.06440677968</v>
      </c>
      <c r="F56" s="70">
        <f>F20</f>
        <v>194566.736</v>
      </c>
      <c r="G56" s="67"/>
    </row>
    <row r="57" spans="1:7" ht="22.5" customHeight="1">
      <c r="A57" s="67">
        <v>3</v>
      </c>
      <c r="B57" s="92" t="s">
        <v>194</v>
      </c>
      <c r="C57" s="67">
        <f>A31</f>
        <v>10</v>
      </c>
      <c r="D57" s="70">
        <f>D32</f>
        <v>15693</v>
      </c>
      <c r="E57" s="70">
        <f>E32</f>
        <v>92794.762711864401</v>
      </c>
      <c r="F57" s="70">
        <f>F32</f>
        <v>109497.82</v>
      </c>
      <c r="G57" s="67"/>
    </row>
    <row r="58" spans="1:7" ht="22.5" customHeight="1">
      <c r="A58" s="93">
        <v>3</v>
      </c>
      <c r="B58" s="94" t="s">
        <v>216</v>
      </c>
      <c r="C58" s="93">
        <f>A45</f>
        <v>12</v>
      </c>
      <c r="D58" s="95">
        <f>D46</f>
        <v>20575</v>
      </c>
      <c r="E58" s="95">
        <f>E46</f>
        <v>190611</v>
      </c>
      <c r="F58" s="95">
        <f>F46</f>
        <v>224920.98</v>
      </c>
      <c r="G58" s="93"/>
    </row>
    <row r="59" spans="1:7" ht="22.5" customHeight="1">
      <c r="A59" s="73"/>
      <c r="B59" s="96" t="s">
        <v>247</v>
      </c>
      <c r="C59" s="73">
        <f>SUM(C56:C58)</f>
        <v>30</v>
      </c>
      <c r="D59" s="97">
        <f>SUM(D56:D58)</f>
        <v>53680.041007246378</v>
      </c>
      <c r="E59" s="76">
        <f>SUM(E56:E58)</f>
        <v>448292.82711864408</v>
      </c>
      <c r="F59" s="76">
        <f>SUM(F56:F58)</f>
        <v>528985.53599999996</v>
      </c>
      <c r="G59" s="73"/>
    </row>
    <row r="60" spans="1:7" s="102" customFormat="1" ht="14.25" customHeight="1">
      <c r="A60" s="98"/>
      <c r="B60" s="99"/>
      <c r="C60" s="98"/>
      <c r="D60" s="100"/>
      <c r="E60" s="101"/>
      <c r="F60" s="101"/>
      <c r="G60" s="98"/>
    </row>
    <row r="61" spans="1:7" ht="22.5" customHeight="1">
      <c r="A61" s="102"/>
      <c r="B61" s="103" t="s">
        <v>248</v>
      </c>
      <c r="C61" s="103"/>
      <c r="D61" s="97">
        <f>ROUND(D59/C59,2)</f>
        <v>1789.33</v>
      </c>
      <c r="E61" s="104"/>
      <c r="F61" s="91" t="s">
        <v>249</v>
      </c>
      <c r="G61" s="91"/>
    </row>
    <row r="62" spans="1:7" ht="22.5" customHeight="1">
      <c r="A62" s="102"/>
      <c r="B62" s="103" t="s">
        <v>250</v>
      </c>
      <c r="C62" s="103"/>
      <c r="D62" s="97"/>
      <c r="E62" s="76">
        <f>E59/C59</f>
        <v>14943.094237288136</v>
      </c>
      <c r="F62" s="91" t="s">
        <v>251</v>
      </c>
      <c r="G62" s="91"/>
    </row>
    <row r="63" spans="1:7" ht="30.75" customHeight="1">
      <c r="A63" s="102"/>
      <c r="B63" s="103" t="s">
        <v>252</v>
      </c>
      <c r="C63" s="103"/>
      <c r="D63" s="97"/>
      <c r="E63" s="76">
        <f>E59/D59</f>
        <v>8.3512012790401577</v>
      </c>
      <c r="F63" s="91" t="s">
        <v>253</v>
      </c>
      <c r="G63" s="91"/>
    </row>
    <row r="65" spans="2:5" ht="15.75" hidden="1">
      <c r="B65" s="105" t="s">
        <v>254</v>
      </c>
      <c r="C65" s="105"/>
      <c r="D65" s="105"/>
      <c r="E65" s="105" t="s">
        <v>255</v>
      </c>
    </row>
  </sheetData>
  <mergeCells count="25">
    <mergeCell ref="B61:C61"/>
    <mergeCell ref="F61:G61"/>
    <mergeCell ref="B62:C62"/>
    <mergeCell ref="F62:G62"/>
    <mergeCell ref="B63:C63"/>
    <mergeCell ref="F63:G63"/>
    <mergeCell ref="A54:A55"/>
    <mergeCell ref="B54:B55"/>
    <mergeCell ref="C54:C55"/>
    <mergeCell ref="D54:D55"/>
    <mergeCell ref="E54:F54"/>
    <mergeCell ref="G54:G55"/>
    <mergeCell ref="A5:G5"/>
    <mergeCell ref="A11:G11"/>
    <mergeCell ref="A21:G21"/>
    <mergeCell ref="A33:G33"/>
    <mergeCell ref="A48:G48"/>
    <mergeCell ref="A53:G53"/>
    <mergeCell ref="A1:G1"/>
    <mergeCell ref="A3:A4"/>
    <mergeCell ref="B3:B4"/>
    <mergeCell ref="C3:C4"/>
    <mergeCell ref="D3:D4"/>
    <mergeCell ref="E3:F3"/>
    <mergeCell ref="G3:G4"/>
  </mergeCells>
  <pageMargins left="0.65" right="0.17" top="0.52" bottom="0.27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47"/>
  <sheetViews>
    <sheetView workbookViewId="0">
      <selection activeCell="K55" sqref="K55"/>
    </sheetView>
  </sheetViews>
  <sheetFormatPr defaultRowHeight="15"/>
  <cols>
    <col min="1" max="1" width="7" customWidth="1"/>
    <col min="2" max="2" width="37" customWidth="1"/>
    <col min="3" max="7" width="16.85546875" customWidth="1"/>
  </cols>
  <sheetData>
    <row r="1" spans="1:7">
      <c r="G1" s="1" t="s">
        <v>329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3</v>
      </c>
    </row>
    <row r="5" spans="1:7">
      <c r="G5" s="1" t="s">
        <v>4</v>
      </c>
    </row>
    <row r="6" spans="1:7">
      <c r="A6" s="2"/>
    </row>
    <row r="7" spans="1:7">
      <c r="A7" s="3" t="s">
        <v>5</v>
      </c>
      <c r="B7" s="3"/>
      <c r="C7" s="3"/>
      <c r="D7" s="3"/>
      <c r="E7" s="3"/>
      <c r="F7" s="3"/>
      <c r="G7" s="3"/>
    </row>
    <row r="8" spans="1:7">
      <c r="A8" s="3" t="s">
        <v>330</v>
      </c>
      <c r="B8" s="3"/>
      <c r="C8" s="3"/>
      <c r="D8" s="3"/>
      <c r="E8" s="3"/>
      <c r="F8" s="3"/>
      <c r="G8" s="3"/>
    </row>
    <row r="9" spans="1:7">
      <c r="A9" s="3" t="s">
        <v>331</v>
      </c>
      <c r="B9" s="3"/>
      <c r="C9" s="3"/>
      <c r="D9" s="3"/>
      <c r="E9" s="3"/>
      <c r="F9" s="3"/>
      <c r="G9" s="3"/>
    </row>
    <row r="10" spans="1:7">
      <c r="A10" s="3" t="s">
        <v>332</v>
      </c>
      <c r="B10" s="3"/>
      <c r="C10" s="3"/>
      <c r="D10" s="3"/>
      <c r="E10" s="3"/>
      <c r="F10" s="3"/>
      <c r="G10" s="3"/>
    </row>
    <row r="11" spans="1:7">
      <c r="A11" s="3" t="s">
        <v>333</v>
      </c>
      <c r="B11" s="3"/>
      <c r="C11" s="3"/>
      <c r="D11" s="3"/>
      <c r="E11" s="3"/>
      <c r="F11" s="3"/>
      <c r="G11" s="3"/>
    </row>
    <row r="12" spans="1:7">
      <c r="A12" s="3" t="s">
        <v>334</v>
      </c>
      <c r="B12" s="3"/>
      <c r="C12" s="3"/>
      <c r="D12" s="3"/>
      <c r="E12" s="3"/>
      <c r="F12" s="3"/>
      <c r="G12" s="3"/>
    </row>
    <row r="13" spans="1:7">
      <c r="A13" s="2"/>
    </row>
    <row r="14" spans="1:7">
      <c r="A14" s="3" t="s">
        <v>335</v>
      </c>
      <c r="B14" s="3"/>
      <c r="C14" s="3"/>
      <c r="D14" s="3"/>
      <c r="E14" s="3"/>
      <c r="F14" s="3"/>
      <c r="G14" s="3"/>
    </row>
    <row r="15" spans="1:7">
      <c r="A15" s="3" t="s">
        <v>336</v>
      </c>
      <c r="B15" s="3"/>
      <c r="C15" s="3"/>
      <c r="D15" s="3"/>
      <c r="E15" s="3"/>
      <c r="F15" s="3"/>
      <c r="G15" s="3"/>
    </row>
    <row r="16" spans="1:7">
      <c r="A16" s="3" t="s">
        <v>337</v>
      </c>
      <c r="B16" s="3"/>
      <c r="C16" s="3"/>
      <c r="D16" s="3"/>
      <c r="E16" s="3"/>
      <c r="F16" s="3"/>
      <c r="G16" s="3"/>
    </row>
    <row r="17" spans="1:7">
      <c r="A17" s="3" t="s">
        <v>338</v>
      </c>
      <c r="B17" s="3"/>
      <c r="C17" s="3"/>
      <c r="D17" s="3"/>
      <c r="E17" s="3"/>
      <c r="F17" s="3"/>
      <c r="G17" s="3"/>
    </row>
    <row r="18" spans="1:7" ht="15.75" thickBot="1">
      <c r="A18" s="2"/>
    </row>
    <row r="19" spans="1:7" ht="60.75" thickBot="1">
      <c r="A19" s="134" t="s">
        <v>9</v>
      </c>
      <c r="B19" s="127" t="s">
        <v>339</v>
      </c>
      <c r="C19" s="127" t="s">
        <v>340</v>
      </c>
      <c r="D19" s="127" t="s">
        <v>341</v>
      </c>
      <c r="E19" s="127" t="s">
        <v>342</v>
      </c>
      <c r="F19" s="127" t="s">
        <v>343</v>
      </c>
      <c r="G19" s="127" t="s">
        <v>344</v>
      </c>
    </row>
    <row r="20" spans="1:7" s="12" customFormat="1" ht="12.75" thickBot="1">
      <c r="A20" s="10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</row>
    <row r="21" spans="1:7" ht="15.75" thickBot="1">
      <c r="A21" s="13" t="s">
        <v>16</v>
      </c>
      <c r="B21" s="135" t="s">
        <v>345</v>
      </c>
      <c r="C21" s="9" t="s">
        <v>346</v>
      </c>
      <c r="D21" s="9" t="s">
        <v>346</v>
      </c>
      <c r="E21" s="9" t="s">
        <v>346</v>
      </c>
      <c r="F21" s="9" t="s">
        <v>346</v>
      </c>
      <c r="G21" s="9" t="s">
        <v>346</v>
      </c>
    </row>
    <row r="22" spans="1:7" ht="45.75" thickBot="1">
      <c r="A22" s="13" t="s">
        <v>347</v>
      </c>
      <c r="B22" s="135" t="s">
        <v>348</v>
      </c>
      <c r="C22" s="9" t="s">
        <v>346</v>
      </c>
      <c r="D22" s="9" t="s">
        <v>346</v>
      </c>
      <c r="E22" s="9" t="s">
        <v>346</v>
      </c>
      <c r="F22" s="9" t="s">
        <v>346</v>
      </c>
      <c r="G22" s="9" t="s">
        <v>346</v>
      </c>
    </row>
    <row r="23" spans="1:7" ht="45.75" thickBot="1">
      <c r="A23" s="13" t="s">
        <v>349</v>
      </c>
      <c r="B23" s="135" t="s">
        <v>350</v>
      </c>
      <c r="C23" s="9" t="s">
        <v>346</v>
      </c>
      <c r="D23" s="9" t="s">
        <v>346</v>
      </c>
      <c r="E23" s="9" t="s">
        <v>346</v>
      </c>
      <c r="F23" s="9" t="s">
        <v>346</v>
      </c>
      <c r="G23" s="9" t="s">
        <v>346</v>
      </c>
    </row>
    <row r="24" spans="1:7" ht="45.75" thickBot="1">
      <c r="A24" s="13" t="s">
        <v>351</v>
      </c>
      <c r="B24" s="135" t="s">
        <v>352</v>
      </c>
      <c r="C24" s="9" t="s">
        <v>346</v>
      </c>
      <c r="D24" s="9" t="s">
        <v>346</v>
      </c>
      <c r="E24" s="9" t="s">
        <v>346</v>
      </c>
      <c r="F24" s="9" t="s">
        <v>346</v>
      </c>
      <c r="G24" s="9" t="s">
        <v>346</v>
      </c>
    </row>
    <row r="25" spans="1:7" ht="135.75" thickBot="1">
      <c r="A25" s="13" t="s">
        <v>353</v>
      </c>
      <c r="B25" s="135" t="s">
        <v>354</v>
      </c>
      <c r="C25" s="14"/>
      <c r="D25" s="14"/>
      <c r="E25" s="14"/>
      <c r="F25" s="14"/>
      <c r="G25" s="14"/>
    </row>
    <row r="26" spans="1:7" ht="15.75" thickBot="1">
      <c r="A26" s="13" t="s">
        <v>18</v>
      </c>
      <c r="B26" s="135" t="s">
        <v>355</v>
      </c>
      <c r="C26" s="9" t="s">
        <v>346</v>
      </c>
      <c r="D26" s="9" t="s">
        <v>346</v>
      </c>
      <c r="E26" s="9" t="s">
        <v>346</v>
      </c>
      <c r="F26" s="9" t="s">
        <v>346</v>
      </c>
      <c r="G26" s="9" t="s">
        <v>346</v>
      </c>
    </row>
    <row r="27" spans="1:7" ht="90.75" thickBot="1">
      <c r="A27" s="13" t="s">
        <v>356</v>
      </c>
      <c r="B27" s="135" t="s">
        <v>357</v>
      </c>
      <c r="C27" s="9" t="s">
        <v>346</v>
      </c>
      <c r="D27" s="9" t="s">
        <v>346</v>
      </c>
      <c r="E27" s="9" t="s">
        <v>346</v>
      </c>
      <c r="F27" s="9" t="s">
        <v>346</v>
      </c>
      <c r="G27" s="9" t="s">
        <v>346</v>
      </c>
    </row>
    <row r="28" spans="1:7" ht="30.75" thickBot="1">
      <c r="A28" s="13" t="s">
        <v>358</v>
      </c>
      <c r="B28" s="135" t="s">
        <v>359</v>
      </c>
      <c r="C28" s="9" t="s">
        <v>346</v>
      </c>
      <c r="D28" s="9" t="s">
        <v>346</v>
      </c>
      <c r="E28" s="9" t="s">
        <v>346</v>
      </c>
      <c r="F28" s="9" t="s">
        <v>346</v>
      </c>
      <c r="G28" s="9" t="s">
        <v>346</v>
      </c>
    </row>
    <row r="29" spans="1:7" ht="45.75" thickBot="1">
      <c r="A29" s="13" t="s">
        <v>360</v>
      </c>
      <c r="B29" s="135" t="s">
        <v>361</v>
      </c>
      <c r="C29" s="9" t="s">
        <v>346</v>
      </c>
      <c r="D29" s="9" t="s">
        <v>346</v>
      </c>
      <c r="E29" s="9" t="s">
        <v>346</v>
      </c>
      <c r="F29" s="9" t="s">
        <v>346</v>
      </c>
      <c r="G29" s="9" t="s">
        <v>346</v>
      </c>
    </row>
    <row r="30" spans="1:7" ht="135.75" thickBot="1">
      <c r="A30" s="13" t="s">
        <v>362</v>
      </c>
      <c r="B30" s="135" t="s">
        <v>354</v>
      </c>
      <c r="C30" s="14"/>
      <c r="D30" s="14"/>
      <c r="E30" s="14"/>
      <c r="F30" s="14"/>
      <c r="G30" s="14"/>
    </row>
    <row r="31" spans="1:7" ht="15.75" thickBot="1">
      <c r="A31" s="13" t="s">
        <v>363</v>
      </c>
      <c r="B31" s="135" t="s">
        <v>364</v>
      </c>
      <c r="C31" s="14"/>
      <c r="D31" s="14"/>
      <c r="E31" s="14"/>
      <c r="F31" s="14"/>
      <c r="G31" s="14"/>
    </row>
    <row r="32" spans="1:7" ht="30.75" thickBot="1">
      <c r="A32" s="13" t="s">
        <v>20</v>
      </c>
      <c r="B32" s="135" t="s">
        <v>365</v>
      </c>
      <c r="C32" s="9" t="s">
        <v>346</v>
      </c>
      <c r="D32" s="9" t="s">
        <v>346</v>
      </c>
      <c r="E32" s="9" t="s">
        <v>346</v>
      </c>
      <c r="F32" s="9" t="s">
        <v>346</v>
      </c>
      <c r="G32" s="9" t="s">
        <v>346</v>
      </c>
    </row>
    <row r="33" spans="1:7" ht="45.75" thickBot="1">
      <c r="A33" s="13" t="s">
        <v>366</v>
      </c>
      <c r="B33" s="135" t="s">
        <v>367</v>
      </c>
      <c r="C33" s="9" t="s">
        <v>346</v>
      </c>
      <c r="D33" s="9" t="s">
        <v>346</v>
      </c>
      <c r="E33" s="9" t="s">
        <v>346</v>
      </c>
      <c r="F33" s="9" t="s">
        <v>346</v>
      </c>
      <c r="G33" s="9" t="s">
        <v>346</v>
      </c>
    </row>
    <row r="34" spans="1:7" ht="90.75" thickBot="1">
      <c r="A34" s="13" t="s">
        <v>368</v>
      </c>
      <c r="B34" s="135" t="s">
        <v>369</v>
      </c>
      <c r="C34" s="14"/>
      <c r="D34" s="14"/>
      <c r="E34" s="14"/>
      <c r="F34" s="14"/>
      <c r="G34" s="14"/>
    </row>
    <row r="35" spans="1:7" ht="75.75" thickBot="1">
      <c r="A35" s="13" t="s">
        <v>370</v>
      </c>
      <c r="B35" s="135" t="s">
        <v>371</v>
      </c>
      <c r="C35" s="9" t="s">
        <v>346</v>
      </c>
      <c r="D35" s="9" t="s">
        <v>346</v>
      </c>
      <c r="E35" s="9" t="s">
        <v>346</v>
      </c>
      <c r="F35" s="9" t="s">
        <v>346</v>
      </c>
      <c r="G35" s="9" t="s">
        <v>346</v>
      </c>
    </row>
    <row r="36" spans="1:7" ht="45.75" thickBot="1">
      <c r="A36" s="13" t="s">
        <v>372</v>
      </c>
      <c r="B36" s="135" t="s">
        <v>373</v>
      </c>
      <c r="C36" s="9" t="s">
        <v>346</v>
      </c>
      <c r="D36" s="9" t="s">
        <v>346</v>
      </c>
      <c r="E36" s="9" t="s">
        <v>346</v>
      </c>
      <c r="F36" s="9" t="s">
        <v>346</v>
      </c>
      <c r="G36" s="9" t="s">
        <v>346</v>
      </c>
    </row>
    <row r="37" spans="1:7" ht="45.75" thickBot="1">
      <c r="A37" s="13" t="s">
        <v>374</v>
      </c>
      <c r="B37" s="135" t="s">
        <v>375</v>
      </c>
      <c r="C37" s="9" t="s">
        <v>346</v>
      </c>
      <c r="D37" s="9" t="s">
        <v>346</v>
      </c>
      <c r="E37" s="9" t="s">
        <v>346</v>
      </c>
      <c r="F37" s="9" t="s">
        <v>346</v>
      </c>
      <c r="G37" s="9" t="s">
        <v>346</v>
      </c>
    </row>
    <row r="38" spans="1:7" ht="105.75" thickBot="1">
      <c r="A38" s="13" t="s">
        <v>376</v>
      </c>
      <c r="B38" s="135" t="s">
        <v>377</v>
      </c>
      <c r="C38" s="14"/>
      <c r="D38" s="14"/>
      <c r="E38" s="14"/>
      <c r="F38" s="14"/>
      <c r="G38" s="14"/>
    </row>
    <row r="39" spans="1:7" ht="45.75" thickBot="1">
      <c r="A39" s="13" t="s">
        <v>378</v>
      </c>
      <c r="B39" s="135" t="s">
        <v>379</v>
      </c>
      <c r="C39" s="9" t="s">
        <v>346</v>
      </c>
      <c r="D39" s="9" t="s">
        <v>346</v>
      </c>
      <c r="E39" s="9" t="s">
        <v>346</v>
      </c>
      <c r="F39" s="9" t="s">
        <v>346</v>
      </c>
      <c r="G39" s="9" t="s">
        <v>346</v>
      </c>
    </row>
    <row r="40" spans="1:7" ht="30.75" thickBot="1">
      <c r="A40" s="13" t="s">
        <v>380</v>
      </c>
      <c r="B40" s="135" t="s">
        <v>381</v>
      </c>
      <c r="C40" s="9" t="s">
        <v>346</v>
      </c>
      <c r="D40" s="9" t="s">
        <v>346</v>
      </c>
      <c r="E40" s="9" t="s">
        <v>346</v>
      </c>
      <c r="F40" s="9" t="s">
        <v>346</v>
      </c>
      <c r="G40" s="9" t="s">
        <v>346</v>
      </c>
    </row>
    <row r="41" spans="1:7" ht="45.75" thickBot="1">
      <c r="A41" s="13" t="s">
        <v>382</v>
      </c>
      <c r="B41" s="135" t="s">
        <v>375</v>
      </c>
      <c r="C41" s="9" t="s">
        <v>346</v>
      </c>
      <c r="D41" s="9" t="s">
        <v>346</v>
      </c>
      <c r="E41" s="9" t="s">
        <v>346</v>
      </c>
      <c r="F41" s="9" t="s">
        <v>346</v>
      </c>
      <c r="G41" s="9" t="s">
        <v>346</v>
      </c>
    </row>
    <row r="42" spans="1:7" ht="105.75" thickBot="1">
      <c r="A42" s="13" t="s">
        <v>383</v>
      </c>
      <c r="B42" s="135" t="s">
        <v>377</v>
      </c>
      <c r="C42" s="14"/>
      <c r="D42" s="14"/>
      <c r="E42" s="14"/>
      <c r="F42" s="14"/>
      <c r="G42" s="14"/>
    </row>
    <row r="43" spans="1:7" ht="45.75" thickBot="1">
      <c r="A43" s="13" t="s">
        <v>384</v>
      </c>
      <c r="B43" s="135" t="s">
        <v>385</v>
      </c>
      <c r="C43" s="9" t="s">
        <v>346</v>
      </c>
      <c r="D43" s="9" t="s">
        <v>346</v>
      </c>
      <c r="E43" s="9" t="s">
        <v>346</v>
      </c>
      <c r="F43" s="9" t="s">
        <v>346</v>
      </c>
      <c r="G43" s="9" t="s">
        <v>346</v>
      </c>
    </row>
    <row r="44" spans="1:7" ht="15.75" thickBot="1">
      <c r="A44" s="13" t="s">
        <v>386</v>
      </c>
      <c r="B44" s="135" t="s">
        <v>387</v>
      </c>
      <c r="C44" s="14"/>
      <c r="D44" s="14"/>
      <c r="E44" s="14"/>
      <c r="F44" s="14"/>
      <c r="G44" s="14"/>
    </row>
    <row r="47" spans="1:7">
      <c r="B47" s="25" t="s">
        <v>23</v>
      </c>
      <c r="C47" s="24"/>
      <c r="D47" s="24"/>
      <c r="E47" s="26" t="s">
        <v>24</v>
      </c>
    </row>
  </sheetData>
  <mergeCells count="10">
    <mergeCell ref="A14:G14"/>
    <mergeCell ref="A15:G15"/>
    <mergeCell ref="A16:G16"/>
    <mergeCell ref="A17:G17"/>
    <mergeCell ref="A7:G7"/>
    <mergeCell ref="A8:G8"/>
    <mergeCell ref="A9:G9"/>
    <mergeCell ref="A10:G10"/>
    <mergeCell ref="A11:G11"/>
    <mergeCell ref="A12:G12"/>
  </mergeCells>
  <pageMargins left="0.59" right="0.21" top="0.43" bottom="0.22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45"/>
  <sheetViews>
    <sheetView workbookViewId="0">
      <selection activeCell="K55" sqref="K55"/>
    </sheetView>
  </sheetViews>
  <sheetFormatPr defaultRowHeight="15"/>
  <cols>
    <col min="1" max="1" width="5.140625" style="107" bestFit="1" customWidth="1"/>
    <col min="2" max="2" width="38.5703125" style="107" customWidth="1"/>
    <col min="3" max="3" width="27.42578125" style="107" customWidth="1"/>
    <col min="4" max="4" width="25.140625" style="107" hidden="1" customWidth="1"/>
    <col min="5" max="7" width="14.85546875" style="107" customWidth="1"/>
    <col min="8" max="16384" width="9.140625" style="107"/>
  </cols>
  <sheetData>
    <row r="1" spans="1:7" ht="18.75">
      <c r="A1" s="106" t="s">
        <v>256</v>
      </c>
      <c r="B1" s="106"/>
      <c r="C1" s="106"/>
      <c r="D1" s="106"/>
      <c r="E1" s="106"/>
      <c r="F1" s="106"/>
      <c r="G1" s="106"/>
    </row>
    <row r="3" spans="1:7" ht="30" customHeight="1">
      <c r="A3" s="108" t="s">
        <v>257</v>
      </c>
      <c r="B3" s="109" t="s">
        <v>258</v>
      </c>
      <c r="C3" s="109" t="s">
        <v>161</v>
      </c>
      <c r="D3" s="110"/>
      <c r="E3" s="109" t="s">
        <v>259</v>
      </c>
      <c r="F3" s="109"/>
      <c r="G3" s="109"/>
    </row>
    <row r="4" spans="1:7" ht="30" customHeight="1">
      <c r="A4" s="108"/>
      <c r="B4" s="109"/>
      <c r="C4" s="109"/>
      <c r="D4" s="110" t="s">
        <v>162</v>
      </c>
      <c r="E4" s="110" t="s">
        <v>165</v>
      </c>
      <c r="F4" s="110" t="s">
        <v>260</v>
      </c>
      <c r="G4" s="110" t="s">
        <v>86</v>
      </c>
    </row>
    <row r="5" spans="1:7" ht="18.75">
      <c r="A5" s="106" t="s">
        <v>261</v>
      </c>
      <c r="B5" s="106"/>
      <c r="C5" s="106"/>
      <c r="D5" s="106"/>
      <c r="E5" s="106"/>
      <c r="F5" s="106"/>
      <c r="G5" s="106"/>
    </row>
    <row r="6" spans="1:7" ht="15.75">
      <c r="A6" s="111">
        <v>1</v>
      </c>
      <c r="B6" s="112" t="s">
        <v>262</v>
      </c>
      <c r="C6" s="112" t="s">
        <v>263</v>
      </c>
      <c r="D6" s="112"/>
      <c r="E6" s="113">
        <v>2350</v>
      </c>
      <c r="F6" s="113">
        <v>423</v>
      </c>
      <c r="G6" s="114">
        <v>2773</v>
      </c>
    </row>
    <row r="7" spans="1:7" ht="31.5">
      <c r="A7" s="111">
        <v>2</v>
      </c>
      <c r="B7" s="112" t="s">
        <v>181</v>
      </c>
      <c r="C7" s="112" t="s">
        <v>264</v>
      </c>
      <c r="D7" s="112"/>
      <c r="E7" s="113">
        <v>23030</v>
      </c>
      <c r="F7" s="113">
        <v>4145.3999999999996</v>
      </c>
      <c r="G7" s="114">
        <v>27175.4</v>
      </c>
    </row>
    <row r="8" spans="1:7" ht="15.75">
      <c r="A8" s="111">
        <v>3</v>
      </c>
      <c r="B8" s="112" t="s">
        <v>186</v>
      </c>
      <c r="C8" s="112" t="s">
        <v>265</v>
      </c>
      <c r="D8" s="112"/>
      <c r="E8" s="113">
        <v>691.2</v>
      </c>
      <c r="F8" s="113">
        <v>124.42</v>
      </c>
      <c r="G8" s="114">
        <v>815.62</v>
      </c>
    </row>
    <row r="9" spans="1:7" ht="15.75">
      <c r="A9" s="111"/>
      <c r="B9" s="115" t="s">
        <v>266</v>
      </c>
      <c r="C9" s="115"/>
      <c r="D9" s="115"/>
      <c r="E9" s="116">
        <v>26071.200000000001</v>
      </c>
      <c r="F9" s="116">
        <v>4692.82</v>
      </c>
      <c r="G9" s="117">
        <v>30764.02</v>
      </c>
    </row>
    <row r="10" spans="1:7" s="118" customFormat="1" ht="18.75">
      <c r="A10" s="106" t="s">
        <v>267</v>
      </c>
      <c r="B10" s="106"/>
      <c r="C10" s="106"/>
      <c r="D10" s="106"/>
      <c r="E10" s="106"/>
      <c r="F10" s="106"/>
      <c r="G10" s="106"/>
    </row>
    <row r="11" spans="1:7" ht="31.5">
      <c r="A11" s="111">
        <v>1</v>
      </c>
      <c r="B11" s="112" t="s">
        <v>268</v>
      </c>
      <c r="C11" s="112" t="s">
        <v>269</v>
      </c>
      <c r="D11" s="112"/>
      <c r="E11" s="113">
        <v>1080</v>
      </c>
      <c r="F11" s="113">
        <v>194.4</v>
      </c>
      <c r="G11" s="114">
        <v>1274.4000000000001</v>
      </c>
    </row>
    <row r="12" spans="1:7" ht="31.5">
      <c r="A12" s="111">
        <v>2</v>
      </c>
      <c r="B12" s="112" t="s">
        <v>270</v>
      </c>
      <c r="C12" s="112" t="s">
        <v>271</v>
      </c>
      <c r="D12" s="112"/>
      <c r="E12" s="113">
        <v>76200</v>
      </c>
      <c r="F12" s="113">
        <v>13716</v>
      </c>
      <c r="G12" s="114">
        <v>89916</v>
      </c>
    </row>
    <row r="13" spans="1:7" ht="31.5">
      <c r="A13" s="111">
        <v>3</v>
      </c>
      <c r="B13" s="112" t="s">
        <v>272</v>
      </c>
      <c r="C13" s="112" t="s">
        <v>206</v>
      </c>
      <c r="D13" s="112"/>
      <c r="E13" s="113">
        <v>1849.6</v>
      </c>
      <c r="F13" s="113">
        <v>332.93</v>
      </c>
      <c r="G13" s="114">
        <v>2182.5300000000002</v>
      </c>
    </row>
    <row r="14" spans="1:7" ht="31.5">
      <c r="A14" s="111">
        <v>4</v>
      </c>
      <c r="B14" s="112" t="s">
        <v>273</v>
      </c>
      <c r="C14" s="112" t="s">
        <v>210</v>
      </c>
      <c r="D14" s="112"/>
      <c r="E14" s="113">
        <v>231.2</v>
      </c>
      <c r="F14" s="113">
        <v>41.62</v>
      </c>
      <c r="G14" s="114">
        <v>272.82</v>
      </c>
    </row>
    <row r="15" spans="1:7" ht="15.75">
      <c r="A15" s="111">
        <v>5</v>
      </c>
      <c r="B15" s="112" t="s">
        <v>274</v>
      </c>
      <c r="C15" s="112" t="s">
        <v>196</v>
      </c>
      <c r="D15" s="112"/>
      <c r="E15" s="113">
        <v>115.6</v>
      </c>
      <c r="F15" s="113">
        <v>20.81</v>
      </c>
      <c r="G15" s="114">
        <v>136.41</v>
      </c>
    </row>
    <row r="16" spans="1:7" ht="31.5">
      <c r="A16" s="111">
        <v>6</v>
      </c>
      <c r="B16" s="112" t="s">
        <v>275</v>
      </c>
      <c r="C16" s="112" t="s">
        <v>276</v>
      </c>
      <c r="D16" s="112"/>
      <c r="E16" s="113">
        <v>1156</v>
      </c>
      <c r="F16" s="113">
        <v>208.08</v>
      </c>
      <c r="G16" s="114">
        <v>1364.08</v>
      </c>
    </row>
    <row r="17" spans="1:7" ht="15.75">
      <c r="A17" s="111"/>
      <c r="B17" s="115" t="s">
        <v>277</v>
      </c>
      <c r="C17" s="115"/>
      <c r="D17" s="115"/>
      <c r="E17" s="116">
        <v>80632.399999999994</v>
      </c>
      <c r="F17" s="116">
        <v>14513.84</v>
      </c>
      <c r="G17" s="117">
        <v>95146.240000000005</v>
      </c>
    </row>
    <row r="18" spans="1:7" s="118" customFormat="1" ht="18.75">
      <c r="A18" s="106" t="s">
        <v>278</v>
      </c>
      <c r="B18" s="106"/>
      <c r="C18" s="106"/>
      <c r="D18" s="106"/>
      <c r="E18" s="106"/>
      <c r="F18" s="106"/>
      <c r="G18" s="106"/>
    </row>
    <row r="19" spans="1:7" s="118" customFormat="1" ht="15.75" customHeight="1">
      <c r="A19" s="111">
        <v>1</v>
      </c>
      <c r="B19" s="112" t="s">
        <v>268</v>
      </c>
      <c r="C19" s="112" t="s">
        <v>200</v>
      </c>
      <c r="D19" s="112"/>
      <c r="E19" s="113">
        <v>27824</v>
      </c>
      <c r="F19" s="113">
        <v>5008.32</v>
      </c>
      <c r="G19" s="114">
        <v>32832.32</v>
      </c>
    </row>
    <row r="20" spans="1:7" s="118" customFormat="1" ht="15.75" customHeight="1">
      <c r="A20" s="119">
        <v>2</v>
      </c>
      <c r="B20" s="120" t="s">
        <v>279</v>
      </c>
      <c r="C20" s="120" t="s">
        <v>220</v>
      </c>
      <c r="D20" s="120"/>
      <c r="E20" s="121">
        <v>19602</v>
      </c>
      <c r="F20" s="121">
        <v>3528.36</v>
      </c>
      <c r="G20" s="122">
        <v>23130.36</v>
      </c>
    </row>
    <row r="21" spans="1:7" s="118" customFormat="1" ht="15.75" customHeight="1">
      <c r="A21" s="111">
        <v>3</v>
      </c>
      <c r="B21" s="112" t="s">
        <v>262</v>
      </c>
      <c r="C21" s="112" t="s">
        <v>280</v>
      </c>
      <c r="D21" s="112"/>
      <c r="E21" s="113">
        <v>16450</v>
      </c>
      <c r="F21" s="113">
        <v>2961</v>
      </c>
      <c r="G21" s="114">
        <v>19411</v>
      </c>
    </row>
    <row r="22" spans="1:7" s="118" customFormat="1" ht="31.5">
      <c r="A22" s="119">
        <v>4</v>
      </c>
      <c r="B22" s="120" t="s">
        <v>281</v>
      </c>
      <c r="C22" s="120" t="s">
        <v>233</v>
      </c>
      <c r="D22" s="120"/>
      <c r="E22" s="121">
        <v>14645</v>
      </c>
      <c r="F22" s="123">
        <v>2636.1</v>
      </c>
      <c r="G22" s="122">
        <v>17281.099999999999</v>
      </c>
    </row>
    <row r="23" spans="1:7" s="118" customFormat="1" ht="31.5">
      <c r="A23" s="119">
        <v>5</v>
      </c>
      <c r="B23" s="120" t="s">
        <v>281</v>
      </c>
      <c r="C23" s="120" t="s">
        <v>232</v>
      </c>
      <c r="D23" s="120"/>
      <c r="E23" s="121">
        <v>14645</v>
      </c>
      <c r="F23" s="123">
        <v>2636.1</v>
      </c>
      <c r="G23" s="122">
        <v>17281.099999999999</v>
      </c>
    </row>
    <row r="24" spans="1:7" s="118" customFormat="1" ht="31.5">
      <c r="A24" s="119">
        <v>6</v>
      </c>
      <c r="B24" s="120" t="s">
        <v>281</v>
      </c>
      <c r="C24" s="120" t="s">
        <v>234</v>
      </c>
      <c r="D24" s="120"/>
      <c r="E24" s="121">
        <v>14645</v>
      </c>
      <c r="F24" s="123">
        <v>2636.1</v>
      </c>
      <c r="G24" s="122">
        <v>17281.099999999999</v>
      </c>
    </row>
    <row r="25" spans="1:7" s="118" customFormat="1" ht="31.5">
      <c r="A25" s="119">
        <v>7</v>
      </c>
      <c r="B25" s="120" t="s">
        <v>281</v>
      </c>
      <c r="C25" s="120" t="s">
        <v>235</v>
      </c>
      <c r="D25" s="120"/>
      <c r="E25" s="121">
        <v>14645</v>
      </c>
      <c r="F25" s="123">
        <v>2636.1</v>
      </c>
      <c r="G25" s="122">
        <v>17281.099999999999</v>
      </c>
    </row>
    <row r="26" spans="1:7" s="118" customFormat="1" ht="31.5">
      <c r="A26" s="119">
        <v>8</v>
      </c>
      <c r="B26" s="120" t="s">
        <v>281</v>
      </c>
      <c r="C26" s="120" t="s">
        <v>236</v>
      </c>
      <c r="D26" s="120"/>
      <c r="E26" s="121">
        <v>14645</v>
      </c>
      <c r="F26" s="123">
        <v>2636.1</v>
      </c>
      <c r="G26" s="122">
        <v>17281.099999999999</v>
      </c>
    </row>
    <row r="27" spans="1:7" s="118" customFormat="1" ht="15.75" customHeight="1">
      <c r="A27" s="119">
        <v>9</v>
      </c>
      <c r="B27" s="120" t="s">
        <v>282</v>
      </c>
      <c r="C27" s="120" t="s">
        <v>230</v>
      </c>
      <c r="D27" s="120"/>
      <c r="E27" s="121">
        <v>14645</v>
      </c>
      <c r="F27" s="121">
        <v>2636.1</v>
      </c>
      <c r="G27" s="122">
        <v>17281.099999999999</v>
      </c>
    </row>
    <row r="28" spans="1:7" s="118" customFormat="1" ht="15.75" customHeight="1">
      <c r="A28" s="111">
        <v>10</v>
      </c>
      <c r="B28" s="112" t="s">
        <v>181</v>
      </c>
      <c r="C28" s="112" t="s">
        <v>283</v>
      </c>
      <c r="D28" s="112"/>
      <c r="E28" s="113">
        <v>19602</v>
      </c>
      <c r="F28" s="113">
        <v>3528.36</v>
      </c>
      <c r="G28" s="114">
        <v>23130.36</v>
      </c>
    </row>
    <row r="29" spans="1:7" s="118" customFormat="1" ht="15.75">
      <c r="A29" s="119">
        <v>11</v>
      </c>
      <c r="B29" s="120" t="s">
        <v>217</v>
      </c>
      <c r="C29" s="120" t="s">
        <v>222</v>
      </c>
      <c r="D29" s="120"/>
      <c r="E29" s="121">
        <v>14645</v>
      </c>
      <c r="F29" s="123">
        <v>2636.1</v>
      </c>
      <c r="G29" s="122">
        <v>17281.099999999999</v>
      </c>
    </row>
    <row r="30" spans="1:7" s="118" customFormat="1" ht="15.75">
      <c r="A30" s="119">
        <v>12</v>
      </c>
      <c r="B30" s="120" t="s">
        <v>217</v>
      </c>
      <c r="C30" s="120" t="s">
        <v>218</v>
      </c>
      <c r="D30" s="120"/>
      <c r="E30" s="121">
        <v>19602</v>
      </c>
      <c r="F30" s="121">
        <v>3528.36</v>
      </c>
      <c r="G30" s="122">
        <v>23130.36</v>
      </c>
    </row>
    <row r="31" spans="1:7" s="118" customFormat="1" ht="15.75" customHeight="1">
      <c r="A31" s="119">
        <v>13</v>
      </c>
      <c r="B31" s="120" t="s">
        <v>223</v>
      </c>
      <c r="C31" s="120" t="s">
        <v>224</v>
      </c>
      <c r="D31" s="120"/>
      <c r="E31" s="121">
        <v>14645</v>
      </c>
      <c r="F31" s="121">
        <v>2636.1</v>
      </c>
      <c r="G31" s="122">
        <v>17281.099999999999</v>
      </c>
    </row>
    <row r="32" spans="1:7" s="118" customFormat="1" ht="15.75" customHeight="1">
      <c r="A32" s="111">
        <v>14</v>
      </c>
      <c r="B32" s="112" t="s">
        <v>274</v>
      </c>
      <c r="C32" s="112" t="s">
        <v>208</v>
      </c>
      <c r="D32" s="112"/>
      <c r="E32" s="113">
        <v>29540.799999999999</v>
      </c>
      <c r="F32" s="113">
        <v>5317.34</v>
      </c>
      <c r="G32" s="114">
        <v>34858.14</v>
      </c>
    </row>
    <row r="33" spans="1:7" s="118" customFormat="1" ht="15.75" customHeight="1">
      <c r="A33" s="111">
        <v>15</v>
      </c>
      <c r="B33" s="112" t="s">
        <v>275</v>
      </c>
      <c r="C33" s="112" t="s">
        <v>204</v>
      </c>
      <c r="D33" s="112"/>
      <c r="E33" s="113">
        <v>4440</v>
      </c>
      <c r="F33" s="113">
        <v>799.2</v>
      </c>
      <c r="G33" s="114">
        <v>5239.2</v>
      </c>
    </row>
    <row r="34" spans="1:7" s="118" customFormat="1" ht="15.75" customHeight="1">
      <c r="A34" s="111">
        <v>16</v>
      </c>
      <c r="B34" s="112" t="s">
        <v>284</v>
      </c>
      <c r="C34" s="112" t="s">
        <v>202</v>
      </c>
      <c r="D34" s="112"/>
      <c r="E34" s="113">
        <v>14800</v>
      </c>
      <c r="F34" s="113">
        <v>2664</v>
      </c>
      <c r="G34" s="114">
        <v>17464</v>
      </c>
    </row>
    <row r="35" spans="1:7" s="118" customFormat="1" ht="15.75" customHeight="1">
      <c r="A35" s="119">
        <v>17</v>
      </c>
      <c r="B35" s="120" t="s">
        <v>225</v>
      </c>
      <c r="C35" s="120" t="s">
        <v>226</v>
      </c>
      <c r="D35" s="120"/>
      <c r="E35" s="121">
        <v>14645</v>
      </c>
      <c r="F35" s="121">
        <v>2636.1</v>
      </c>
      <c r="G35" s="122">
        <v>17281.099999999999</v>
      </c>
    </row>
    <row r="36" spans="1:7" s="118" customFormat="1" ht="15.75">
      <c r="A36" s="119">
        <v>18</v>
      </c>
      <c r="B36" s="120" t="s">
        <v>285</v>
      </c>
      <c r="C36" s="120" t="s">
        <v>286</v>
      </c>
      <c r="D36" s="120"/>
      <c r="E36" s="121">
        <v>19602</v>
      </c>
      <c r="F36" s="121">
        <v>3528.36</v>
      </c>
      <c r="G36" s="122">
        <f>E36+F36</f>
        <v>23130.36</v>
      </c>
    </row>
    <row r="37" spans="1:7" ht="15.75">
      <c r="A37" s="111">
        <v>19</v>
      </c>
      <c r="B37" s="112" t="s">
        <v>285</v>
      </c>
      <c r="C37" s="112" t="s">
        <v>286</v>
      </c>
      <c r="D37" s="112"/>
      <c r="E37" s="113">
        <v>56400</v>
      </c>
      <c r="F37" s="113">
        <v>10152</v>
      </c>
      <c r="G37" s="114">
        <f>E37+F37</f>
        <v>66552</v>
      </c>
    </row>
    <row r="38" spans="1:7" ht="15.75">
      <c r="A38" s="111">
        <v>20</v>
      </c>
      <c r="B38" s="112" t="s">
        <v>285</v>
      </c>
      <c r="C38" s="112" t="s">
        <v>228</v>
      </c>
      <c r="D38" s="112"/>
      <c r="E38" s="113">
        <v>19602</v>
      </c>
      <c r="F38" s="113">
        <v>3528.36</v>
      </c>
      <c r="G38" s="114">
        <v>23130.36</v>
      </c>
    </row>
    <row r="39" spans="1:7" ht="15.75">
      <c r="A39" s="111"/>
      <c r="B39" s="115" t="s">
        <v>287</v>
      </c>
      <c r="C39" s="115"/>
      <c r="D39" s="115"/>
      <c r="E39" s="116">
        <v>379269.8</v>
      </c>
      <c r="F39" s="116">
        <v>68268.56</v>
      </c>
      <c r="G39" s="117">
        <v>447538.36</v>
      </c>
    </row>
    <row r="42" spans="1:7" hidden="1">
      <c r="B42" s="107" t="s">
        <v>288</v>
      </c>
      <c r="E42" s="107">
        <f>A8+A16+A38</f>
        <v>29</v>
      </c>
    </row>
    <row r="43" spans="1:7" hidden="1">
      <c r="B43" s="124" t="s">
        <v>289</v>
      </c>
      <c r="E43" s="125">
        <f>E9</f>
        <v>26071.200000000001</v>
      </c>
    </row>
    <row r="44" spans="1:7" hidden="1">
      <c r="B44" s="124" t="s">
        <v>290</v>
      </c>
    </row>
    <row r="45" spans="1:7" hidden="1"/>
  </sheetData>
  <mergeCells count="8">
    <mergeCell ref="A10:G10"/>
    <mergeCell ref="A18:G18"/>
    <mergeCell ref="A1:G1"/>
    <mergeCell ref="A3:A4"/>
    <mergeCell ref="B3:B4"/>
    <mergeCell ref="C3:C4"/>
    <mergeCell ref="E3:G3"/>
    <mergeCell ref="A5:G5"/>
  </mergeCells>
  <pageMargins left="0.28999999999999998" right="0.19" top="0.75" bottom="0.75" header="0.3" footer="0.3"/>
  <pageSetup paperSize="9" scale="8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65"/>
  <sheetViews>
    <sheetView tabSelected="1" view="pageBreakPreview" zoomScale="85" zoomScaleNormal="100" zoomScaleSheetLayoutView="85" workbookViewId="0">
      <selection activeCell="I91" sqref="I91"/>
    </sheetView>
  </sheetViews>
  <sheetFormatPr defaultColWidth="9.140625" defaultRowHeight="15"/>
  <cols>
    <col min="1" max="1" width="4.5703125" style="60" customWidth="1"/>
    <col min="2" max="2" width="37" style="60" customWidth="1"/>
    <col min="3" max="3" width="31.7109375" style="60" customWidth="1"/>
    <col min="4" max="4" width="14.42578125" style="60" customWidth="1"/>
    <col min="5" max="5" width="18.28515625" style="60" customWidth="1"/>
    <col min="6" max="6" width="15.42578125" style="60" customWidth="1"/>
    <col min="7" max="7" width="13.5703125" style="60" customWidth="1"/>
    <col min="8" max="16384" width="9.140625" style="60"/>
  </cols>
  <sheetData>
    <row r="1" spans="1:7" ht="15.75">
      <c r="A1" s="59" t="s">
        <v>158</v>
      </c>
      <c r="B1" s="59"/>
      <c r="C1" s="59"/>
      <c r="D1" s="59"/>
      <c r="E1" s="59"/>
      <c r="F1" s="59"/>
      <c r="G1" s="59"/>
    </row>
    <row r="3" spans="1:7">
      <c r="A3" s="61" t="s">
        <v>159</v>
      </c>
      <c r="B3" s="61" t="s">
        <v>160</v>
      </c>
      <c r="C3" s="61" t="s">
        <v>161</v>
      </c>
      <c r="D3" s="61" t="s">
        <v>162</v>
      </c>
      <c r="E3" s="62" t="s">
        <v>163</v>
      </c>
      <c r="F3" s="62"/>
      <c r="G3" s="61" t="s">
        <v>164</v>
      </c>
    </row>
    <row r="4" spans="1:7">
      <c r="A4" s="61"/>
      <c r="B4" s="61"/>
      <c r="C4" s="61"/>
      <c r="D4" s="61"/>
      <c r="E4" s="63" t="s">
        <v>165</v>
      </c>
      <c r="F4" s="63" t="s">
        <v>86</v>
      </c>
      <c r="G4" s="61"/>
    </row>
    <row r="5" spans="1:7" hidden="1">
      <c r="A5" s="64" t="s">
        <v>166</v>
      </c>
      <c r="B5" s="65"/>
      <c r="C5" s="65"/>
      <c r="D5" s="65"/>
      <c r="E5" s="65"/>
      <c r="F5" s="65"/>
      <c r="G5" s="66"/>
    </row>
    <row r="6" spans="1:7" hidden="1">
      <c r="A6" s="67">
        <v>1</v>
      </c>
      <c r="B6" s="68" t="s">
        <v>167</v>
      </c>
      <c r="C6" s="69" t="s">
        <v>168</v>
      </c>
      <c r="D6" s="70">
        <v>350</v>
      </c>
      <c r="E6" s="70">
        <v>4060</v>
      </c>
      <c r="F6" s="71">
        <f t="shared" ref="F6:F9" si="0">E6*1.18</f>
        <v>4790.8</v>
      </c>
      <c r="G6" s="67"/>
    </row>
    <row r="7" spans="1:7" hidden="1">
      <c r="A7" s="67">
        <v>2</v>
      </c>
      <c r="B7" s="68" t="s">
        <v>169</v>
      </c>
      <c r="C7" s="72" t="s">
        <v>170</v>
      </c>
      <c r="D7" s="70">
        <v>6000</v>
      </c>
      <c r="E7" s="70">
        <v>76200</v>
      </c>
      <c r="F7" s="71">
        <f t="shared" si="0"/>
        <v>89916</v>
      </c>
      <c r="G7" s="67"/>
    </row>
    <row r="8" spans="1:7" hidden="1">
      <c r="A8" s="67">
        <v>3</v>
      </c>
      <c r="B8" s="68" t="s">
        <v>171</v>
      </c>
      <c r="C8" s="69" t="s">
        <v>172</v>
      </c>
      <c r="D8" s="70">
        <v>4968</v>
      </c>
      <c r="E8" s="70">
        <v>63093.599999999999</v>
      </c>
      <c r="F8" s="71">
        <f t="shared" si="0"/>
        <v>74450.447999999989</v>
      </c>
      <c r="G8" s="67"/>
    </row>
    <row r="9" spans="1:7" hidden="1">
      <c r="A9" s="67">
        <v>4</v>
      </c>
      <c r="B9" s="68" t="s">
        <v>173</v>
      </c>
      <c r="C9" s="69" t="s">
        <v>174</v>
      </c>
      <c r="D9" s="70">
        <v>1000</v>
      </c>
      <c r="E9" s="70">
        <v>12700</v>
      </c>
      <c r="F9" s="71">
        <f t="shared" si="0"/>
        <v>14986</v>
      </c>
      <c r="G9" s="67"/>
    </row>
    <row r="10" spans="1:7" hidden="1">
      <c r="A10" s="73"/>
      <c r="B10" s="74" t="s">
        <v>175</v>
      </c>
      <c r="C10" s="75"/>
      <c r="D10" s="76">
        <f>SUM(D6:D9)</f>
        <v>12318</v>
      </c>
      <c r="E10" s="76">
        <f>SUM(E6:E9)</f>
        <v>156053.6</v>
      </c>
      <c r="F10" s="76">
        <f>SUM(F6:F9)</f>
        <v>184143.24799999999</v>
      </c>
      <c r="G10" s="73"/>
    </row>
    <row r="11" spans="1:7" hidden="1">
      <c r="A11" s="64" t="s">
        <v>176</v>
      </c>
      <c r="B11" s="65"/>
      <c r="C11" s="65"/>
      <c r="D11" s="65"/>
      <c r="E11" s="65"/>
      <c r="F11" s="65"/>
      <c r="G11" s="66"/>
    </row>
    <row r="12" spans="1:7" hidden="1">
      <c r="A12" s="77">
        <v>1</v>
      </c>
      <c r="B12" s="68" t="s">
        <v>177</v>
      </c>
      <c r="C12" s="78" t="s">
        <v>178</v>
      </c>
      <c r="D12" s="70">
        <v>10000</v>
      </c>
      <c r="E12" s="79">
        <f>F12/1.18</f>
        <v>24329.830508474577</v>
      </c>
      <c r="F12" s="79">
        <v>28709.200000000001</v>
      </c>
      <c r="G12" s="77"/>
    </row>
    <row r="13" spans="1:7" hidden="1">
      <c r="A13" s="67">
        <v>2</v>
      </c>
      <c r="B13" s="68" t="s">
        <v>179</v>
      </c>
      <c r="C13" s="78" t="s">
        <v>180</v>
      </c>
      <c r="D13" s="70">
        <v>1600</v>
      </c>
      <c r="E13" s="70">
        <f>F13/1.18</f>
        <v>7520.0000000000009</v>
      </c>
      <c r="F13" s="71">
        <v>8873.6</v>
      </c>
      <c r="G13" s="67"/>
    </row>
    <row r="14" spans="1:7" ht="30" hidden="1">
      <c r="A14" s="77">
        <v>3</v>
      </c>
      <c r="B14" s="68" t="s">
        <v>181</v>
      </c>
      <c r="C14" s="78" t="s">
        <v>182</v>
      </c>
      <c r="D14" s="70">
        <v>4900</v>
      </c>
      <c r="E14" s="70">
        <v>23030</v>
      </c>
      <c r="F14" s="71">
        <f t="shared" ref="F14:F17" si="1">E14*1.18</f>
        <v>27175.399999999998</v>
      </c>
      <c r="G14" s="67"/>
    </row>
    <row r="15" spans="1:7" hidden="1">
      <c r="A15" s="67">
        <v>4</v>
      </c>
      <c r="B15" s="68" t="s">
        <v>183</v>
      </c>
      <c r="C15" s="78" t="s">
        <v>184</v>
      </c>
      <c r="D15" s="70">
        <v>0.65217391304347827</v>
      </c>
      <c r="E15" s="70">
        <f>F15/1.18</f>
        <v>81143.016949152545</v>
      </c>
      <c r="F15" s="71">
        <v>95748.76</v>
      </c>
      <c r="G15" s="67"/>
    </row>
    <row r="16" spans="1:7" ht="30" hidden="1">
      <c r="A16" s="77">
        <v>5</v>
      </c>
      <c r="B16" s="68" t="s">
        <v>181</v>
      </c>
      <c r="C16" s="78" t="s">
        <v>185</v>
      </c>
      <c r="D16" s="70">
        <v>1.3888333333333334</v>
      </c>
      <c r="E16" s="70">
        <f>F16/1.18</f>
        <v>24743.016949152541</v>
      </c>
      <c r="F16" s="71">
        <v>29196.76</v>
      </c>
      <c r="G16" s="67"/>
    </row>
    <row r="17" spans="1:7" hidden="1">
      <c r="A17" s="67">
        <v>6</v>
      </c>
      <c r="B17" s="68" t="s">
        <v>186</v>
      </c>
      <c r="C17" s="80" t="s">
        <v>187</v>
      </c>
      <c r="D17" s="70">
        <v>160</v>
      </c>
      <c r="E17" s="70">
        <v>691.2</v>
      </c>
      <c r="F17" s="71">
        <f t="shared" si="1"/>
        <v>815.61599999999999</v>
      </c>
      <c r="G17" s="67" t="s">
        <v>188</v>
      </c>
    </row>
    <row r="18" spans="1:7" hidden="1">
      <c r="A18" s="77">
        <v>7</v>
      </c>
      <c r="B18" s="68" t="s">
        <v>189</v>
      </c>
      <c r="C18" s="78" t="s">
        <v>190</v>
      </c>
      <c r="D18" s="70">
        <v>500</v>
      </c>
      <c r="E18" s="70">
        <f>F18/1.18</f>
        <v>2350</v>
      </c>
      <c r="F18" s="71">
        <v>2773</v>
      </c>
      <c r="G18" s="67"/>
    </row>
    <row r="19" spans="1:7" hidden="1">
      <c r="A19" s="67">
        <v>8</v>
      </c>
      <c r="B19" s="68" t="s">
        <v>191</v>
      </c>
      <c r="C19" s="78" t="s">
        <v>192</v>
      </c>
      <c r="D19" s="70">
        <v>250</v>
      </c>
      <c r="E19" s="70">
        <f>F19/1.18</f>
        <v>1080.0000000000002</v>
      </c>
      <c r="F19" s="71">
        <v>1274.4000000000001</v>
      </c>
      <c r="G19" s="67"/>
    </row>
    <row r="20" spans="1:7" hidden="1">
      <c r="A20" s="73"/>
      <c r="B20" s="74" t="s">
        <v>193</v>
      </c>
      <c r="C20" s="75"/>
      <c r="D20" s="76">
        <f>SUM(D12:D19)</f>
        <v>17412.041007246378</v>
      </c>
      <c r="E20" s="76">
        <f t="shared" ref="E20:F20" si="2">SUM(E12:E19)</f>
        <v>164887.06440677968</v>
      </c>
      <c r="F20" s="76">
        <f t="shared" si="2"/>
        <v>194566.736</v>
      </c>
      <c r="G20" s="73"/>
    </row>
    <row r="21" spans="1:7" hidden="1">
      <c r="A21" s="64" t="s">
        <v>194</v>
      </c>
      <c r="B21" s="65"/>
      <c r="C21" s="65"/>
      <c r="D21" s="65"/>
      <c r="E21" s="65"/>
      <c r="F21" s="65"/>
      <c r="G21" s="66"/>
    </row>
    <row r="22" spans="1:7" ht="22.5" hidden="1" customHeight="1">
      <c r="A22" s="67">
        <v>1</v>
      </c>
      <c r="B22" s="68" t="s">
        <v>195</v>
      </c>
      <c r="C22" s="81" t="s">
        <v>196</v>
      </c>
      <c r="D22" s="70">
        <v>20</v>
      </c>
      <c r="E22" s="70">
        <f>F22/1.18</f>
        <v>115.60169491525424</v>
      </c>
      <c r="F22" s="71">
        <v>136.41</v>
      </c>
      <c r="G22" s="67"/>
    </row>
    <row r="23" spans="1:7" ht="22.5" hidden="1" customHeight="1">
      <c r="A23" s="67">
        <v>2</v>
      </c>
      <c r="B23" s="68" t="s">
        <v>197</v>
      </c>
      <c r="C23" s="81" t="s">
        <v>198</v>
      </c>
      <c r="D23" s="70">
        <v>200</v>
      </c>
      <c r="E23" s="70">
        <f t="shared" ref="E23:E31" si="3">F23/1.18</f>
        <v>1156</v>
      </c>
      <c r="F23" s="71">
        <v>1364.08</v>
      </c>
      <c r="G23" s="67" t="s">
        <v>188</v>
      </c>
    </row>
    <row r="24" spans="1:7" ht="22.5" hidden="1" customHeight="1">
      <c r="A24" s="67">
        <v>3</v>
      </c>
      <c r="B24" s="68" t="s">
        <v>199</v>
      </c>
      <c r="C24" s="81" t="s">
        <v>200</v>
      </c>
      <c r="D24" s="70">
        <v>4700</v>
      </c>
      <c r="E24" s="70">
        <f t="shared" si="3"/>
        <v>27824</v>
      </c>
      <c r="F24" s="71">
        <v>32832.32</v>
      </c>
      <c r="G24" s="67"/>
    </row>
    <row r="25" spans="1:7" ht="22.5" hidden="1" customHeight="1">
      <c r="A25" s="67">
        <v>4</v>
      </c>
      <c r="B25" s="68" t="s">
        <v>201</v>
      </c>
      <c r="C25" s="81" t="s">
        <v>202</v>
      </c>
      <c r="D25" s="70">
        <v>2500</v>
      </c>
      <c r="E25" s="70">
        <f t="shared" si="3"/>
        <v>14800</v>
      </c>
      <c r="F25" s="71">
        <v>17464</v>
      </c>
      <c r="G25" s="67"/>
    </row>
    <row r="26" spans="1:7" ht="22.5" hidden="1" customHeight="1">
      <c r="A26" s="67">
        <v>5</v>
      </c>
      <c r="B26" s="68" t="s">
        <v>203</v>
      </c>
      <c r="C26" s="81" t="s">
        <v>204</v>
      </c>
      <c r="D26" s="70">
        <v>750</v>
      </c>
      <c r="E26" s="70">
        <f t="shared" si="3"/>
        <v>4440</v>
      </c>
      <c r="F26" s="71">
        <v>5239.2</v>
      </c>
      <c r="G26" s="67"/>
    </row>
    <row r="27" spans="1:7" ht="22.5" hidden="1" customHeight="1">
      <c r="A27" s="67">
        <v>6</v>
      </c>
      <c r="B27" s="68" t="s">
        <v>205</v>
      </c>
      <c r="C27" s="81" t="s">
        <v>206</v>
      </c>
      <c r="D27" s="70">
        <v>320</v>
      </c>
      <c r="E27" s="70">
        <f t="shared" si="3"/>
        <v>1849.6016949152545</v>
      </c>
      <c r="F27" s="71">
        <v>2182.5300000000002</v>
      </c>
      <c r="G27" s="67" t="s">
        <v>188</v>
      </c>
    </row>
    <row r="28" spans="1:7" ht="22.5" hidden="1" customHeight="1">
      <c r="A28" s="67">
        <v>7</v>
      </c>
      <c r="B28" s="68" t="s">
        <v>207</v>
      </c>
      <c r="C28" s="81" t="s">
        <v>208</v>
      </c>
      <c r="D28" s="70">
        <v>4990</v>
      </c>
      <c r="E28" s="70">
        <f t="shared" si="3"/>
        <v>29540.796610169491</v>
      </c>
      <c r="F28" s="71">
        <v>34858.14</v>
      </c>
      <c r="G28" s="67"/>
    </row>
    <row r="29" spans="1:7" ht="22.5" hidden="1" customHeight="1">
      <c r="A29" s="67">
        <v>8</v>
      </c>
      <c r="B29" s="68" t="s">
        <v>209</v>
      </c>
      <c r="C29" s="81" t="s">
        <v>210</v>
      </c>
      <c r="D29" s="70">
        <v>40</v>
      </c>
      <c r="E29" s="70">
        <f t="shared" si="3"/>
        <v>231.20338983050848</v>
      </c>
      <c r="F29" s="71">
        <v>272.82</v>
      </c>
      <c r="G29" s="67" t="s">
        <v>188</v>
      </c>
    </row>
    <row r="30" spans="1:7" ht="22.5" hidden="1" customHeight="1">
      <c r="A30" s="67">
        <v>9</v>
      </c>
      <c r="B30" s="68" t="s">
        <v>211</v>
      </c>
      <c r="C30" s="81" t="s">
        <v>212</v>
      </c>
      <c r="D30" s="70">
        <v>190</v>
      </c>
      <c r="E30" s="70">
        <f t="shared" si="3"/>
        <v>1098.2033898305085</v>
      </c>
      <c r="F30" s="71">
        <v>1295.8800000000001</v>
      </c>
      <c r="G30" s="67"/>
    </row>
    <row r="31" spans="1:7" ht="22.5" hidden="1" customHeight="1">
      <c r="A31" s="67">
        <v>10</v>
      </c>
      <c r="B31" s="68" t="s">
        <v>213</v>
      </c>
      <c r="C31" s="81" t="s">
        <v>214</v>
      </c>
      <c r="D31" s="70">
        <v>1983</v>
      </c>
      <c r="E31" s="70">
        <f t="shared" si="3"/>
        <v>11739.355932203391</v>
      </c>
      <c r="F31" s="71">
        <v>13852.44</v>
      </c>
      <c r="G31" s="67"/>
    </row>
    <row r="32" spans="1:7" s="82" customFormat="1" ht="22.5" hidden="1" customHeight="1">
      <c r="A32" s="73"/>
      <c r="B32" s="74" t="s">
        <v>215</v>
      </c>
      <c r="C32" s="75"/>
      <c r="D32" s="76">
        <f>SUM(D22:D31)</f>
        <v>15693</v>
      </c>
      <c r="E32" s="76">
        <f>SUM(E22:E31)</f>
        <v>92794.762711864401</v>
      </c>
      <c r="F32" s="76">
        <f>SUM(F22:F31)</f>
        <v>109497.82</v>
      </c>
      <c r="G32" s="73"/>
    </row>
    <row r="33" spans="1:7" s="82" customFormat="1" ht="23.25" hidden="1" customHeight="1">
      <c r="A33" s="83" t="s">
        <v>216</v>
      </c>
      <c r="B33" s="84"/>
      <c r="C33" s="84"/>
      <c r="D33" s="84"/>
      <c r="E33" s="84"/>
      <c r="F33" s="84"/>
      <c r="G33" s="85"/>
    </row>
    <row r="34" spans="1:7" s="82" customFormat="1" ht="22.5" hidden="1" customHeight="1">
      <c r="A34" s="67">
        <v>1</v>
      </c>
      <c r="B34" s="68" t="s">
        <v>217</v>
      </c>
      <c r="C34" s="81" t="s">
        <v>218</v>
      </c>
      <c r="D34" s="70">
        <v>4990</v>
      </c>
      <c r="E34" s="86">
        <f>F34/1.18</f>
        <v>19602</v>
      </c>
      <c r="F34" s="87">
        <v>23130.36</v>
      </c>
      <c r="G34" s="73"/>
    </row>
    <row r="35" spans="1:7" s="82" customFormat="1" ht="22.5" hidden="1" customHeight="1">
      <c r="A35" s="67">
        <v>2</v>
      </c>
      <c r="B35" s="68" t="s">
        <v>219</v>
      </c>
      <c r="C35" s="81" t="s">
        <v>220</v>
      </c>
      <c r="D35" s="70">
        <v>3800</v>
      </c>
      <c r="E35" s="86">
        <f>F35/1.18</f>
        <v>19602</v>
      </c>
      <c r="F35" s="87">
        <v>23130.36</v>
      </c>
      <c r="G35" s="73"/>
    </row>
    <row r="36" spans="1:7" s="82" customFormat="1" ht="22.5" hidden="1" customHeight="1">
      <c r="A36" s="67">
        <v>3</v>
      </c>
      <c r="B36" s="68" t="s">
        <v>221</v>
      </c>
      <c r="C36" s="81" t="s">
        <v>222</v>
      </c>
      <c r="D36" s="70">
        <v>150</v>
      </c>
      <c r="E36" s="86">
        <f t="shared" ref="E36:E38" si="4">F36/1.18</f>
        <v>14645</v>
      </c>
      <c r="F36" s="87">
        <v>17281.099999999999</v>
      </c>
      <c r="G36" s="67" t="s">
        <v>188</v>
      </c>
    </row>
    <row r="37" spans="1:7" ht="30" hidden="1">
      <c r="A37" s="67">
        <v>4</v>
      </c>
      <c r="B37" s="68" t="s">
        <v>223</v>
      </c>
      <c r="C37" s="81" t="s">
        <v>224</v>
      </c>
      <c r="D37" s="70">
        <v>300</v>
      </c>
      <c r="E37" s="86">
        <f t="shared" si="4"/>
        <v>14645</v>
      </c>
      <c r="F37" s="87">
        <v>17281.099999999999</v>
      </c>
      <c r="G37" s="67" t="s">
        <v>188</v>
      </c>
    </row>
    <row r="38" spans="1:7" ht="22.5" hidden="1" customHeight="1">
      <c r="A38" s="67">
        <v>5</v>
      </c>
      <c r="B38" s="68" t="s">
        <v>225</v>
      </c>
      <c r="C38" s="81" t="s">
        <v>226</v>
      </c>
      <c r="D38" s="70">
        <v>300</v>
      </c>
      <c r="E38" s="86">
        <f t="shared" si="4"/>
        <v>14645</v>
      </c>
      <c r="F38" s="87">
        <v>17281.099999999999</v>
      </c>
      <c r="G38" s="67" t="s">
        <v>188</v>
      </c>
    </row>
    <row r="39" spans="1:7" ht="22.5" hidden="1" customHeight="1">
      <c r="A39" s="67">
        <v>6</v>
      </c>
      <c r="B39" s="68" t="s">
        <v>227</v>
      </c>
      <c r="C39" s="81" t="s">
        <v>228</v>
      </c>
      <c r="D39" s="70">
        <v>8000</v>
      </c>
      <c r="E39" s="86">
        <f>F39/1.18</f>
        <v>19602</v>
      </c>
      <c r="F39" s="87">
        <v>23130.36</v>
      </c>
      <c r="G39" s="67"/>
    </row>
    <row r="40" spans="1:7" ht="22.5" hidden="1" customHeight="1">
      <c r="A40" s="67">
        <v>7</v>
      </c>
      <c r="B40" s="68" t="s">
        <v>229</v>
      </c>
      <c r="C40" s="81" t="s">
        <v>230</v>
      </c>
      <c r="D40" s="70">
        <v>300</v>
      </c>
      <c r="E40" s="86">
        <f t="shared" ref="E40:E45" si="5">F40/1.18</f>
        <v>14645</v>
      </c>
      <c r="F40" s="87">
        <v>17281.099999999999</v>
      </c>
      <c r="G40" s="67" t="s">
        <v>188</v>
      </c>
    </row>
    <row r="41" spans="1:7" ht="22.5" hidden="1" customHeight="1">
      <c r="A41" s="67">
        <v>8</v>
      </c>
      <c r="B41" s="68" t="s">
        <v>231</v>
      </c>
      <c r="C41" s="81" t="s">
        <v>232</v>
      </c>
      <c r="D41" s="70">
        <v>660</v>
      </c>
      <c r="E41" s="86">
        <f t="shared" si="5"/>
        <v>14645</v>
      </c>
      <c r="F41" s="87">
        <v>17281.099999999999</v>
      </c>
      <c r="G41" s="67" t="s">
        <v>188</v>
      </c>
    </row>
    <row r="42" spans="1:7" ht="22.5" hidden="1" customHeight="1">
      <c r="A42" s="67">
        <v>9</v>
      </c>
      <c r="B42" s="68" t="s">
        <v>231</v>
      </c>
      <c r="C42" s="81" t="s">
        <v>233</v>
      </c>
      <c r="D42" s="70">
        <v>2060</v>
      </c>
      <c r="E42" s="86">
        <f t="shared" si="5"/>
        <v>14645</v>
      </c>
      <c r="F42" s="87">
        <v>17281.099999999999</v>
      </c>
      <c r="G42" s="67" t="s">
        <v>188</v>
      </c>
    </row>
    <row r="43" spans="1:7" ht="22.5" hidden="1" customHeight="1">
      <c r="A43" s="67">
        <v>10</v>
      </c>
      <c r="B43" s="68" t="s">
        <v>231</v>
      </c>
      <c r="C43" s="81" t="s">
        <v>234</v>
      </c>
      <c r="D43" s="70">
        <v>5</v>
      </c>
      <c r="E43" s="86">
        <f t="shared" si="5"/>
        <v>14645</v>
      </c>
      <c r="F43" s="87">
        <v>17281.099999999999</v>
      </c>
      <c r="G43" s="67"/>
    </row>
    <row r="44" spans="1:7" ht="22.5" hidden="1" customHeight="1">
      <c r="A44" s="67">
        <v>11</v>
      </c>
      <c r="B44" s="68" t="s">
        <v>231</v>
      </c>
      <c r="C44" s="81" t="s">
        <v>235</v>
      </c>
      <c r="D44" s="70">
        <v>5</v>
      </c>
      <c r="E44" s="86">
        <f t="shared" si="5"/>
        <v>14645</v>
      </c>
      <c r="F44" s="87">
        <v>17281.099999999999</v>
      </c>
      <c r="G44" s="67"/>
    </row>
    <row r="45" spans="1:7" ht="22.5" hidden="1" customHeight="1">
      <c r="A45" s="67">
        <v>12</v>
      </c>
      <c r="B45" s="68" t="s">
        <v>231</v>
      </c>
      <c r="C45" s="81" t="s">
        <v>236</v>
      </c>
      <c r="D45" s="70">
        <v>5</v>
      </c>
      <c r="E45" s="86">
        <f t="shared" si="5"/>
        <v>14645</v>
      </c>
      <c r="F45" s="87">
        <v>17281.099999999999</v>
      </c>
      <c r="G45" s="67"/>
    </row>
    <row r="46" spans="1:7" ht="22.5" hidden="1" customHeight="1">
      <c r="A46" s="73"/>
      <c r="B46" s="74" t="s">
        <v>237</v>
      </c>
      <c r="C46" s="75"/>
      <c r="D46" s="88">
        <f>SUM(D34:D45)</f>
        <v>20575</v>
      </c>
      <c r="E46" s="88">
        <f>SUM(E34:E45)</f>
        <v>190611</v>
      </c>
      <c r="F46" s="88">
        <f>SUM(F34:F45)</f>
        <v>224920.98</v>
      </c>
      <c r="G46" s="73"/>
    </row>
    <row r="47" spans="1:7" hidden="1"/>
    <row r="48" spans="1:7">
      <c r="A48" s="83" t="s">
        <v>238</v>
      </c>
      <c r="B48" s="84"/>
      <c r="C48" s="84"/>
      <c r="D48" s="84"/>
      <c r="E48" s="84"/>
      <c r="F48" s="84"/>
      <c r="G48" s="85"/>
    </row>
    <row r="49" spans="1:7">
      <c r="A49" s="67">
        <v>1</v>
      </c>
      <c r="B49" s="68" t="s">
        <v>239</v>
      </c>
      <c r="C49" s="81" t="s">
        <v>240</v>
      </c>
      <c r="D49" s="70">
        <v>5</v>
      </c>
      <c r="E49" s="86">
        <f>F49/1.2</f>
        <v>19708</v>
      </c>
      <c r="F49" s="87">
        <v>23649.599999999999</v>
      </c>
      <c r="G49" s="73"/>
    </row>
    <row r="50" spans="1:7">
      <c r="A50" s="67">
        <v>2</v>
      </c>
      <c r="B50" s="68" t="s">
        <v>239</v>
      </c>
      <c r="C50" s="81" t="s">
        <v>241</v>
      </c>
      <c r="D50" s="70">
        <v>5</v>
      </c>
      <c r="E50" s="86">
        <f>F50/1.2</f>
        <v>19708</v>
      </c>
      <c r="F50" s="87">
        <v>23649.599999999999</v>
      </c>
      <c r="G50" s="73"/>
    </row>
    <row r="51" spans="1:7">
      <c r="A51" s="73"/>
      <c r="B51" s="74" t="s">
        <v>242</v>
      </c>
      <c r="C51" s="75"/>
      <c r="D51" s="88">
        <f>SUM(D49:D50)</f>
        <v>10</v>
      </c>
      <c r="E51" s="88">
        <f t="shared" ref="E51:F51" si="6">SUM(E49:E50)</f>
        <v>39416</v>
      </c>
      <c r="F51" s="88">
        <f t="shared" si="6"/>
        <v>47299.199999999997</v>
      </c>
      <c r="G51" s="73"/>
    </row>
    <row r="52" spans="1:7">
      <c r="D52" s="89"/>
    </row>
    <row r="53" spans="1:7" hidden="1">
      <c r="A53" s="90" t="s">
        <v>243</v>
      </c>
      <c r="B53" s="90"/>
      <c r="C53" s="90"/>
      <c r="D53" s="90"/>
      <c r="E53" s="90"/>
      <c r="F53" s="90"/>
      <c r="G53" s="90"/>
    </row>
    <row r="54" spans="1:7" hidden="1">
      <c r="A54" s="61" t="s">
        <v>244</v>
      </c>
      <c r="B54" s="61" t="s">
        <v>245</v>
      </c>
      <c r="C54" s="61" t="s">
        <v>246</v>
      </c>
      <c r="D54" s="61" t="s">
        <v>162</v>
      </c>
      <c r="E54" s="91" t="s">
        <v>163</v>
      </c>
      <c r="F54" s="91"/>
      <c r="G54" s="61" t="s">
        <v>164</v>
      </c>
    </row>
    <row r="55" spans="1:7" ht="16.5" hidden="1" customHeight="1">
      <c r="A55" s="61"/>
      <c r="B55" s="61"/>
      <c r="C55" s="61"/>
      <c r="D55" s="61"/>
      <c r="E55" s="63" t="s">
        <v>165</v>
      </c>
      <c r="F55" s="63" t="s">
        <v>86</v>
      </c>
      <c r="G55" s="61"/>
    </row>
    <row r="56" spans="1:7" ht="22.5" hidden="1" customHeight="1">
      <c r="A56" s="67">
        <v>1</v>
      </c>
      <c r="B56" s="92" t="s">
        <v>176</v>
      </c>
      <c r="C56" s="67">
        <f>A19</f>
        <v>8</v>
      </c>
      <c r="D56" s="70">
        <f>D20</f>
        <v>17412.041007246378</v>
      </c>
      <c r="E56" s="70">
        <f>E20</f>
        <v>164887.06440677968</v>
      </c>
      <c r="F56" s="70">
        <f>F20</f>
        <v>194566.736</v>
      </c>
      <c r="G56" s="67"/>
    </row>
    <row r="57" spans="1:7" ht="22.5" hidden="1" customHeight="1">
      <c r="A57" s="67">
        <v>3</v>
      </c>
      <c r="B57" s="92" t="s">
        <v>194</v>
      </c>
      <c r="C57" s="67">
        <f>A31</f>
        <v>10</v>
      </c>
      <c r="D57" s="70">
        <f>D32</f>
        <v>15693</v>
      </c>
      <c r="E57" s="70">
        <f>E32</f>
        <v>92794.762711864401</v>
      </c>
      <c r="F57" s="70">
        <f>F32</f>
        <v>109497.82</v>
      </c>
      <c r="G57" s="67"/>
    </row>
    <row r="58" spans="1:7" ht="22.5" hidden="1" customHeight="1">
      <c r="A58" s="93">
        <v>3</v>
      </c>
      <c r="B58" s="94" t="s">
        <v>216</v>
      </c>
      <c r="C58" s="93">
        <f>A45</f>
        <v>12</v>
      </c>
      <c r="D58" s="95">
        <f>D46</f>
        <v>20575</v>
      </c>
      <c r="E58" s="95">
        <f>E46</f>
        <v>190611</v>
      </c>
      <c r="F58" s="95">
        <f>F46</f>
        <v>224920.98</v>
      </c>
      <c r="G58" s="93"/>
    </row>
    <row r="59" spans="1:7" ht="22.5" hidden="1" customHeight="1">
      <c r="A59" s="73"/>
      <c r="B59" s="96" t="s">
        <v>247</v>
      </c>
      <c r="C59" s="73">
        <f>SUM(C56:C58)</f>
        <v>30</v>
      </c>
      <c r="D59" s="97">
        <f>SUM(D56:D58)</f>
        <v>53680.041007246378</v>
      </c>
      <c r="E59" s="76">
        <f>SUM(E56:E58)</f>
        <v>448292.82711864408</v>
      </c>
      <c r="F59" s="76">
        <f>SUM(F56:F58)</f>
        <v>528985.53599999996</v>
      </c>
      <c r="G59" s="73"/>
    </row>
    <row r="60" spans="1:7" s="102" customFormat="1" ht="14.25" hidden="1" customHeight="1">
      <c r="A60" s="98"/>
      <c r="B60" s="99"/>
      <c r="C60" s="98"/>
      <c r="D60" s="100"/>
      <c r="E60" s="101"/>
      <c r="F60" s="101"/>
      <c r="G60" s="98"/>
    </row>
    <row r="61" spans="1:7" ht="22.5" hidden="1" customHeight="1">
      <c r="A61" s="102"/>
      <c r="B61" s="103" t="s">
        <v>248</v>
      </c>
      <c r="C61" s="103"/>
      <c r="D61" s="97">
        <f>ROUND(D59/C59,2)</f>
        <v>1789.33</v>
      </c>
      <c r="E61" s="104"/>
      <c r="F61" s="91" t="s">
        <v>249</v>
      </c>
      <c r="G61" s="91"/>
    </row>
    <row r="62" spans="1:7" ht="22.5" hidden="1" customHeight="1">
      <c r="A62" s="102"/>
      <c r="B62" s="103" t="s">
        <v>250</v>
      </c>
      <c r="C62" s="103"/>
      <c r="D62" s="97"/>
      <c r="E62" s="76">
        <f>E59/C59</f>
        <v>14943.094237288136</v>
      </c>
      <c r="F62" s="91" t="s">
        <v>251</v>
      </c>
      <c r="G62" s="91"/>
    </row>
    <row r="63" spans="1:7" ht="30.75" hidden="1" customHeight="1">
      <c r="A63" s="102"/>
      <c r="B63" s="103" t="s">
        <v>252</v>
      </c>
      <c r="C63" s="103"/>
      <c r="D63" s="97"/>
      <c r="E63" s="76">
        <f>E59/D59</f>
        <v>8.3512012790401577</v>
      </c>
      <c r="F63" s="91" t="s">
        <v>253</v>
      </c>
      <c r="G63" s="91"/>
    </row>
    <row r="64" spans="1:7" hidden="1"/>
    <row r="65" spans="2:5" ht="15.75" hidden="1">
      <c r="B65" s="105" t="s">
        <v>254</v>
      </c>
      <c r="C65" s="105"/>
      <c r="D65" s="105"/>
      <c r="E65" s="105" t="s">
        <v>255</v>
      </c>
    </row>
  </sheetData>
  <mergeCells count="25">
    <mergeCell ref="B61:C61"/>
    <mergeCell ref="F61:G61"/>
    <mergeCell ref="B62:C62"/>
    <mergeCell ref="F62:G62"/>
    <mergeCell ref="B63:C63"/>
    <mergeCell ref="F63:G63"/>
    <mergeCell ref="A54:A55"/>
    <mergeCell ref="B54:B55"/>
    <mergeCell ref="C54:C55"/>
    <mergeCell ref="D54:D55"/>
    <mergeCell ref="E54:F54"/>
    <mergeCell ref="G54:G55"/>
    <mergeCell ref="A5:G5"/>
    <mergeCell ref="A11:G11"/>
    <mergeCell ref="A21:G21"/>
    <mergeCell ref="A33:G33"/>
    <mergeCell ref="A48:G48"/>
    <mergeCell ref="A53:G53"/>
    <mergeCell ref="A1:G1"/>
    <mergeCell ref="A3:A4"/>
    <mergeCell ref="B3:B4"/>
    <mergeCell ref="C3:C4"/>
    <mergeCell ref="D3:D4"/>
    <mergeCell ref="E3:F3"/>
    <mergeCell ref="G3:G4"/>
  </mergeCells>
  <pageMargins left="0.65" right="0.17" top="0.52" bottom="0.27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1_Прогноз</vt:lpstr>
      <vt:lpstr>2_Станд_ставки</vt:lpstr>
      <vt:lpstr>3_Расходы</vt:lpstr>
      <vt:lpstr>4_НВВ</vt:lpstr>
      <vt:lpstr>5_Мощность</vt:lpstr>
      <vt:lpstr>6_стройка</vt:lpstr>
      <vt:lpstr>7_Договоры</vt:lpstr>
      <vt:lpstr>8_заявки2019</vt:lpstr>
      <vt:lpstr>'3_Расходы'!Заголовки_для_печати</vt:lpstr>
      <vt:lpstr>'1_Прогноз'!Область_печати</vt:lpstr>
      <vt:lpstr>'3_Расходы'!Область_печати</vt:lpstr>
      <vt:lpstr>'5_Мощность'!Область_печати</vt:lpstr>
      <vt:lpstr>'8_заявки2019'!Область_печати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 Иванов</dc:creator>
  <cp:lastModifiedBy>Артур Иванов</cp:lastModifiedBy>
  <dcterms:created xsi:type="dcterms:W3CDTF">2019-10-17T05:30:09Z</dcterms:created>
  <dcterms:modified xsi:type="dcterms:W3CDTF">2019-10-17T06:07:09Z</dcterms:modified>
</cp:coreProperties>
</file>